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lt998/protwis_vagrant/shared/data/protwis/gpcr/structure_data/"/>
    </mc:Choice>
  </mc:AlternateContent>
  <bookViews>
    <workbookView xWindow="80" yWindow="440" windowWidth="51120" windowHeight="17220" tabRatio="500" activeTab="4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'Xtal_Bulges_Constr_GPCRdb#'!$C$1:$P$40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'Xtal_Bulges_Constr_GPCRdb#'!$C$1:$P$40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40" i="2" l="1"/>
  <c r="G231" i="4"/>
  <c r="I226" i="5"/>
  <c r="F226" i="5"/>
  <c r="H226" i="5"/>
  <c r="F40" i="2"/>
  <c r="F231" i="4"/>
  <c r="F227" i="5"/>
  <c r="H227" i="5"/>
  <c r="F200" i="4"/>
  <c r="I227" i="5"/>
  <c r="E40" i="2"/>
  <c r="E200" i="4"/>
  <c r="E231" i="4"/>
  <c r="V40" i="2"/>
  <c r="V231" i="4"/>
  <c r="W40" i="2"/>
  <c r="W231" i="4"/>
  <c r="X40" i="2"/>
  <c r="O40" i="2"/>
  <c r="O231" i="4"/>
  <c r="N40" i="2"/>
  <c r="N231" i="4"/>
  <c r="M40" i="2"/>
  <c r="K40" i="2"/>
  <c r="K231" i="4"/>
  <c r="L40" i="2"/>
  <c r="I40" i="2"/>
  <c r="I231" i="4"/>
  <c r="J40" i="2"/>
  <c r="J231" i="4"/>
  <c r="H40" i="2"/>
  <c r="H231" i="4"/>
  <c r="C40" i="2"/>
  <c r="C231" i="4"/>
  <c r="L231" i="4"/>
  <c r="M231" i="4"/>
  <c r="P40" i="2"/>
  <c r="P231" i="4"/>
  <c r="Q40" i="2"/>
  <c r="Q231" i="4"/>
  <c r="R40" i="2"/>
  <c r="R231" i="4"/>
  <c r="S40" i="2"/>
  <c r="S231" i="4"/>
  <c r="AF231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T231" i="4" a="1"/>
  <c r="T231" i="4"/>
  <c r="H22" i="3"/>
  <c r="U231" i="4" a="1"/>
  <c r="U231" i="4"/>
  <c r="X231" i="4"/>
  <c r="Y40" i="2"/>
  <c r="Y231" i="4"/>
  <c r="Z40" i="2"/>
  <c r="Z231" i="4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D40" i="2"/>
  <c r="T40" i="2"/>
  <c r="U40" i="2"/>
  <c r="AA40" i="2"/>
  <c r="D39" i="2"/>
  <c r="B376" i="4"/>
  <c r="D376" i="4"/>
  <c r="E398" i="5"/>
  <c r="B231" i="4"/>
  <c r="D231" i="4"/>
  <c r="E226" i="5"/>
  <c r="AB40" i="2"/>
  <c r="AC40" i="2"/>
  <c r="AD40" i="2"/>
  <c r="I39" i="2"/>
  <c r="I376" i="4"/>
  <c r="L398" i="5"/>
  <c r="H39" i="2"/>
  <c r="H376" i="4"/>
  <c r="K398" i="5"/>
  <c r="L226" i="5"/>
  <c r="K226" i="5"/>
  <c r="AE40" i="2"/>
  <c r="AF40" i="2"/>
  <c r="AG40" i="2"/>
  <c r="AH40" i="2"/>
  <c r="K39" i="2"/>
  <c r="K376" i="4"/>
  <c r="O398" i="5"/>
  <c r="J39" i="2"/>
  <c r="J376" i="4"/>
  <c r="N398" i="5"/>
  <c r="O226" i="5"/>
  <c r="N226" i="5"/>
  <c r="AI40" i="2"/>
  <c r="M39" i="2"/>
  <c r="M376" i="4"/>
  <c r="R398" i="5"/>
  <c r="L39" i="2"/>
  <c r="L376" i="4"/>
  <c r="Q398" i="5"/>
  <c r="Q226" i="5"/>
  <c r="R226" i="5"/>
  <c r="AJ40" i="2"/>
  <c r="AK40" i="2"/>
  <c r="B35" i="6"/>
  <c r="Q35" i="6"/>
  <c r="R35" i="6"/>
  <c r="S35" i="6"/>
  <c r="T35" i="6"/>
  <c r="U35" i="6"/>
  <c r="BA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BE77" i="1"/>
  <c r="BF77" i="1"/>
  <c r="CQ77" i="1"/>
  <c r="BA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BE78" i="1"/>
  <c r="BF78" i="1"/>
  <c r="CQ78" i="1"/>
  <c r="BA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BE118" i="1"/>
  <c r="BF118" i="1"/>
  <c r="CQ118" i="1"/>
  <c r="BA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BE117" i="1"/>
  <c r="BF117" i="1"/>
  <c r="CQ117" i="1"/>
  <c r="BA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BE114" i="1"/>
  <c r="BF114" i="1"/>
  <c r="CQ114" i="1"/>
  <c r="BA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BE113" i="1"/>
  <c r="BF113" i="1"/>
  <c r="CQ113" i="1"/>
  <c r="BA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BE42" i="1"/>
  <c r="BF42" i="1"/>
  <c r="CQ42" i="1"/>
  <c r="BA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BE163" i="1"/>
  <c r="BF163" i="1"/>
  <c r="CQ163" i="1"/>
  <c r="BA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BE162" i="1"/>
  <c r="BF162" i="1"/>
  <c r="CQ162" i="1"/>
  <c r="BA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BE99" i="1"/>
  <c r="BF99" i="1"/>
  <c r="CQ99" i="1"/>
  <c r="BA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BE98" i="1"/>
  <c r="BF98" i="1"/>
  <c r="CQ98" i="1"/>
  <c r="BA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BE15" i="1"/>
  <c r="BF15" i="1"/>
  <c r="CQ15" i="1"/>
  <c r="BA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BE14" i="1"/>
  <c r="BF14" i="1"/>
  <c r="CQ14" i="1"/>
  <c r="BA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BE13" i="1"/>
  <c r="BF13" i="1"/>
  <c r="CQ13" i="1"/>
  <c r="BA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BE12" i="1"/>
  <c r="BF12" i="1"/>
  <c r="CQ12" i="1"/>
  <c r="BA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BE11" i="1"/>
  <c r="BF11" i="1"/>
  <c r="CQ11" i="1"/>
  <c r="BA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BE59" i="1"/>
  <c r="BF59" i="1"/>
  <c r="CQ59" i="1"/>
  <c r="BA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BE58" i="1"/>
  <c r="BF58" i="1"/>
  <c r="CQ58" i="1"/>
  <c r="BA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BE19" i="1"/>
  <c r="BF19" i="1"/>
  <c r="CQ19" i="1"/>
  <c r="BA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BE18" i="1"/>
  <c r="BF18" i="1"/>
  <c r="CQ18" i="1"/>
  <c r="BA3" i="1"/>
  <c r="BA4" i="1"/>
  <c r="BA5" i="1"/>
  <c r="BA6" i="1"/>
  <c r="BA7" i="1"/>
  <c r="BA8" i="1"/>
  <c r="BA9" i="1"/>
  <c r="BA20" i="1"/>
  <c r="BA21" i="1"/>
  <c r="BA22" i="1"/>
  <c r="BA23" i="1"/>
  <c r="BA24" i="1"/>
  <c r="BA25" i="1"/>
  <c r="BA26" i="1"/>
  <c r="BA27" i="1"/>
  <c r="BA28" i="1"/>
  <c r="BA10" i="1"/>
  <c r="BA29" i="1"/>
  <c r="BA16" i="1"/>
  <c r="BA17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60" i="1"/>
  <c r="BA61" i="1"/>
  <c r="BA62" i="1"/>
  <c r="BA63" i="1"/>
  <c r="BA64" i="1"/>
  <c r="BA65" i="1"/>
  <c r="BA66" i="1"/>
  <c r="BA57" i="1"/>
  <c r="BA67" i="1"/>
  <c r="BA68" i="1"/>
  <c r="BA69" i="1"/>
  <c r="BA70" i="1"/>
  <c r="BA71" i="1"/>
  <c r="BA72" i="1"/>
  <c r="BA73" i="1"/>
  <c r="BA74" i="1"/>
  <c r="BA75" i="1"/>
  <c r="BA76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5" i="1"/>
  <c r="BA119" i="1"/>
  <c r="BA120" i="1"/>
  <c r="BA116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4" i="1"/>
  <c r="BA161" i="1"/>
  <c r="BA165" i="1"/>
  <c r="BA166" i="1"/>
  <c r="BA167" i="1"/>
  <c r="BA2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BE17" i="1"/>
  <c r="BF17" i="1"/>
  <c r="CQ17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BE16" i="1"/>
  <c r="BF16" i="1"/>
  <c r="CQ16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F103" i="1"/>
  <c r="BE103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F167" i="1"/>
  <c r="BE167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F166" i="1"/>
  <c r="BE166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F165" i="1"/>
  <c r="BE165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F161" i="1"/>
  <c r="BE161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F164" i="1"/>
  <c r="BE164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F160" i="1"/>
  <c r="BE160" i="1"/>
  <c r="BD160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F159" i="1"/>
  <c r="BE159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F158" i="1"/>
  <c r="BE158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F157" i="1"/>
  <c r="BE157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F156" i="1"/>
  <c r="BE156" i="1"/>
  <c r="BD156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F155" i="1"/>
  <c r="BE155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F154" i="1"/>
  <c r="BE154" i="1"/>
  <c r="BD154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F153" i="1"/>
  <c r="BE153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F152" i="1"/>
  <c r="BE152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F151" i="1"/>
  <c r="BE151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F150" i="1"/>
  <c r="BE150" i="1"/>
  <c r="BD150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F149" i="1"/>
  <c r="BE149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F148" i="1"/>
  <c r="BE148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F147" i="1"/>
  <c r="BE147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F146" i="1"/>
  <c r="BE146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F145" i="1"/>
  <c r="BE145" i="1"/>
  <c r="BD145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F144" i="1"/>
  <c r="BE144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F143" i="1"/>
  <c r="BE143" i="1"/>
  <c r="BD143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F142" i="1"/>
  <c r="BE142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F141" i="1"/>
  <c r="BE141" i="1"/>
  <c r="BD141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F140" i="1"/>
  <c r="BE140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F139" i="1"/>
  <c r="BE139" i="1"/>
  <c r="BD139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F138" i="1"/>
  <c r="BE138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F137" i="1"/>
  <c r="BE137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F136" i="1"/>
  <c r="BE136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F135" i="1"/>
  <c r="BE135" i="1"/>
  <c r="BD135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F134" i="1"/>
  <c r="BE134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F133" i="1"/>
  <c r="BE133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F132" i="1"/>
  <c r="BE132" i="1"/>
  <c r="BD132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F131" i="1"/>
  <c r="BE131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F130" i="1"/>
  <c r="BE130" i="1"/>
  <c r="BD130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F129" i="1"/>
  <c r="BE129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F128" i="1"/>
  <c r="BE128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F127" i="1"/>
  <c r="BE127" i="1"/>
  <c r="BD127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F126" i="1"/>
  <c r="BE126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F125" i="1"/>
  <c r="BE125" i="1"/>
  <c r="BD125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F124" i="1"/>
  <c r="BE124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F123" i="1"/>
  <c r="BE123" i="1"/>
  <c r="BD123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F122" i="1"/>
  <c r="BE122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F121" i="1"/>
  <c r="BE121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F116" i="1"/>
  <c r="BE116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F120" i="1"/>
  <c r="BE120" i="1"/>
  <c r="BD120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F119" i="1"/>
  <c r="BE119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F115" i="1"/>
  <c r="BE115" i="1"/>
  <c r="BD115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F112" i="1"/>
  <c r="BE112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F111" i="1"/>
  <c r="BE111" i="1"/>
  <c r="BD111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F110" i="1"/>
  <c r="BE110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F109" i="1"/>
  <c r="BE109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F108" i="1"/>
  <c r="BE108" i="1"/>
  <c r="BD108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F107" i="1"/>
  <c r="BE107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F106" i="1"/>
  <c r="BE106" i="1"/>
  <c r="BD106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F105" i="1"/>
  <c r="BE105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F104" i="1"/>
  <c r="BE104" i="1"/>
  <c r="BD104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F102" i="1"/>
  <c r="BE102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F101" i="1"/>
  <c r="BE101" i="1"/>
  <c r="BD101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F100" i="1"/>
  <c r="BE100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F97" i="1"/>
  <c r="BE97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F96" i="1"/>
  <c r="BE96" i="1"/>
  <c r="BD96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F95" i="1"/>
  <c r="BE95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F94" i="1"/>
  <c r="BE94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F93" i="1"/>
  <c r="BE93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F92" i="1"/>
  <c r="BE92" i="1"/>
  <c r="BD92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F91" i="1"/>
  <c r="BE91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F90" i="1"/>
  <c r="BE90" i="1"/>
  <c r="BD90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F89" i="1"/>
  <c r="BE89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F88" i="1"/>
  <c r="BE88" i="1"/>
  <c r="BD88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F84" i="1"/>
  <c r="BE84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F83" i="1"/>
  <c r="BE83" i="1"/>
  <c r="BD83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F82" i="1"/>
  <c r="BE82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F81" i="1"/>
  <c r="BE81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F80" i="1"/>
  <c r="BE80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F79" i="1"/>
  <c r="BE79" i="1"/>
  <c r="BD79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F76" i="1"/>
  <c r="BE76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F75" i="1"/>
  <c r="BE75" i="1"/>
  <c r="BD75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F74" i="1"/>
  <c r="BE74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F73" i="1"/>
  <c r="BE73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F72" i="1"/>
  <c r="BE72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F71" i="1"/>
  <c r="BE71" i="1"/>
  <c r="BD71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F70" i="1"/>
  <c r="BE70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F69" i="1"/>
  <c r="BE69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F68" i="1"/>
  <c r="BE68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F67" i="1"/>
  <c r="BE6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F57" i="1"/>
  <c r="BE57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F66" i="1"/>
  <c r="BE66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F65" i="1"/>
  <c r="BE65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F64" i="1"/>
  <c r="BE64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F63" i="1"/>
  <c r="BE63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F62" i="1"/>
  <c r="BE62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F61" i="1"/>
  <c r="BE61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F60" i="1"/>
  <c r="BE60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F56" i="1"/>
  <c r="BE56" i="1"/>
  <c r="BD56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F55" i="1"/>
  <c r="BE55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F54" i="1"/>
  <c r="BE54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F53" i="1"/>
  <c r="BE53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F52" i="1"/>
  <c r="BE52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F51" i="1"/>
  <c r="BE51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F50" i="1"/>
  <c r="BE50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F49" i="1"/>
  <c r="BE49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F48" i="1"/>
  <c r="BE48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F47" i="1"/>
  <c r="BE47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F46" i="1"/>
  <c r="BE46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F45" i="1"/>
  <c r="BE45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F44" i="1"/>
  <c r="BE44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F43" i="1"/>
  <c r="BE43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F41" i="1"/>
  <c r="BE41" i="1"/>
  <c r="BD41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F40" i="1"/>
  <c r="BE40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F39" i="1"/>
  <c r="BE39" i="1"/>
  <c r="BD39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F38" i="1"/>
  <c r="BE38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F37" i="1"/>
  <c r="BE37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F36" i="1"/>
  <c r="BE36" i="1"/>
  <c r="BD36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F35" i="1"/>
  <c r="BE35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F34" i="1"/>
  <c r="BE34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F33" i="1"/>
  <c r="BE33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F32" i="1"/>
  <c r="BE32" i="1"/>
  <c r="BD32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F31" i="1"/>
  <c r="BE31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F30" i="1"/>
  <c r="BE30" i="1"/>
  <c r="BD30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F29" i="1"/>
  <c r="BE29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F10" i="1"/>
  <c r="BE10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F28" i="1"/>
  <c r="BE28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F27" i="1"/>
  <c r="BE27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F26" i="1"/>
  <c r="BE26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F25" i="1"/>
  <c r="BE25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F24" i="1"/>
  <c r="BE24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F23" i="1"/>
  <c r="BE23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F22" i="1"/>
  <c r="BE22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F21" i="1"/>
  <c r="BE21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F20" i="1"/>
  <c r="BE20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F9" i="1"/>
  <c r="BE9" i="1"/>
  <c r="BD9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F8" i="1"/>
  <c r="BE8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F7" i="1"/>
  <c r="BE7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F6" i="1"/>
  <c r="BE6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F5" i="1"/>
  <c r="BE5" i="1"/>
  <c r="BD5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F4" i="1"/>
  <c r="BE4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F3" i="1"/>
  <c r="BE3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F2" i="1"/>
  <c r="BE2" i="1"/>
  <c r="BD2" i="1"/>
  <c r="B159" i="7"/>
  <c r="F32" i="3"/>
  <c r="A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T2" i="4" a="1"/>
  <c r="T2" i="4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3" i="3"/>
  <c r="G34" i="3"/>
  <c r="G35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Q40" i="6"/>
  <c r="R40" i="6"/>
  <c r="S40" i="6"/>
  <c r="T40" i="6"/>
  <c r="U40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AD24" i="8"/>
  <c r="H287" i="5"/>
  <c r="H8" i="5"/>
  <c r="AE24" i="8"/>
  <c r="K287" i="5"/>
  <c r="AF24" i="8"/>
  <c r="N287" i="5"/>
  <c r="N8" i="5"/>
  <c r="AG24" i="8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AG38" i="8"/>
  <c r="Q81" i="5"/>
  <c r="AH38" i="8"/>
  <c r="T81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B23" i="6"/>
  <c r="B19" i="6"/>
  <c r="B24" i="6"/>
  <c r="B25" i="6"/>
  <c r="B26" i="6"/>
  <c r="B27" i="6"/>
  <c r="B33" i="6"/>
  <c r="B34" i="6"/>
  <c r="B3" i="6"/>
  <c r="B4" i="6"/>
  <c r="B36" i="6"/>
  <c r="B5" i="6"/>
  <c r="B28" i="6"/>
  <c r="B6" i="6"/>
  <c r="B37" i="6"/>
  <c r="B38" i="6"/>
  <c r="B39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40" i="6"/>
  <c r="B14" i="6"/>
  <c r="AA32" i="2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S40" i="8"/>
  <c r="I278" i="5"/>
  <c r="I300" i="5"/>
  <c r="I8" i="5"/>
  <c r="I298" i="5"/>
  <c r="I3" i="5"/>
  <c r="T40" i="8"/>
  <c r="L278" i="5"/>
  <c r="L8" i="5"/>
  <c r="U40" i="8"/>
  <c r="O278" i="5"/>
  <c r="O8" i="5"/>
  <c r="V40" i="8"/>
  <c r="R300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4" i="5"/>
  <c r="S41" i="8"/>
  <c r="I299" i="5"/>
  <c r="I247" i="5"/>
  <c r="I15" i="5"/>
  <c r="I325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AA17" i="2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AI226" i="5"/>
  <c r="AN24" i="8"/>
  <c r="AZ24" i="8"/>
  <c r="P24" i="8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<sst xmlns="http://schemas.openxmlformats.org/spreadsheetml/2006/main" count="17088" uniqueCount="1601">
  <si>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</si>
  <si>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</si>
  <si>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</si>
  <si>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</si>
  <si>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</si>
  <si>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</si>
  <si>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</si>
  <si>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</si>
  <si>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</si>
  <si>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</si>
  <si>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</si>
  <si>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</si>
  <si>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</si>
  <si>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</si>
  <si>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</si>
  <si>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</si>
  <si>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</si>
  <si>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</si>
  <si>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</si>
  <si>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</si>
  <si>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</si>
  <si>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</si>
  <si>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</si>
  <si>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</si>
  <si>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</si>
  <si>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</si>
  <si>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</si>
  <si>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</si>
  <si>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</si>
  <si>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</si>
  <si>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</si>
  <si>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</si>
  <si>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</si>
  <si>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</si>
  <si>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</si>
  <si>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</si>
  <si>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</si>
  <si>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</si>
  <si>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</si>
  <si>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</si>
  <si>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</si>
  <si>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</si>
  <si>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</si>
  <si>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</si>
  <si>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</si>
  <si>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</si>
  <si>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</si>
  <si>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</si>
  <si>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</si>
  <si>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</si>
  <si>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</si>
  <si>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</si>
  <si>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</si>
  <si>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</si>
  <si>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</si>
  <si>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</si>
  <si>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</si>
  <si>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</si>
  <si>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</si>
  <si>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</si>
  <si>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</si>
  <si>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</si>
  <si>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</si>
  <si>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</si>
  <si>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</si>
  <si>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</si>
  <si>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</si>
  <si>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</si>
  <si>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</si>
  <si>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</si>
  <si>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</si>
  <si>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</si>
  <si>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</si>
  <si>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</si>
  <si>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</si>
  <si>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</si>
  <si>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</si>
  <si>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</si>
  <si>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</si>
  <si>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</si>
  <si>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</si>
  <si>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</si>
  <si>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</si>
  <si>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</si>
  <si>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</si>
  <si>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</si>
  <si>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</si>
  <si>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</si>
  <si>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</si>
  <si>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</si>
  <si>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</si>
  <si>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</si>
  <si>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</si>
  <si>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</si>
  <si>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</si>
  <si>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</si>
  <si>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</si>
  <si>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</si>
  <si>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</si>
  <si>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</si>
  <si>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</si>
  <si>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</si>
  <si>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</si>
  <si>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</si>
  <si>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</si>
  <si>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</si>
  <si>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</si>
  <si>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</si>
  <si>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</si>
  <si>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</si>
  <si>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</si>
  <si>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</si>
  <si>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</si>
  <si>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</si>
  <si>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</si>
  <si>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</si>
  <si>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</si>
  <si>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</si>
  <si>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</si>
  <si>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</si>
  <si>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</si>
  <si>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</si>
  <si>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</si>
  <si>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</si>
  <si>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</si>
  <si>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</si>
  <si>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</si>
  <si>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</si>
  <si>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</si>
  <si>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</si>
  <si>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</si>
  <si>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</si>
  <si>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</si>
  <si>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</si>
  <si>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</si>
  <si>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</si>
  <si>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</si>
  <si>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</si>
  <si>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</si>
  <si>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</si>
  <si>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</si>
  <si>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</si>
  <si>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</si>
  <si>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</si>
  <si>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</si>
  <si>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</si>
  <si>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</si>
  <si>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</si>
  <si>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</si>
  <si>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</si>
  <si>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</si>
  <si>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</si>
  <si>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</si>
  <si>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</si>
  <si>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</si>
  <si>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</si>
  <si>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</si>
  <si>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</si>
  <si>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</si>
  <si>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</si>
  <si>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</si>
  <si>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</si>
  <si>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</si>
  <si>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</si>
  <si>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</si>
  <si>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</si>
  <si>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</si>
  <si>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</si>
  <si>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</si>
  <si>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</si>
  <si>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</si>
  <si>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</si>
  <si>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</si>
  <si>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</si>
  <si>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</si>
  <si>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</si>
  <si>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</si>
  <si>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</si>
  <si>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</si>
  <si>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</si>
  <si>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</si>
  <si>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</si>
  <si>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</si>
  <si>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</si>
  <si>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</si>
  <si>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</si>
  <si>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</si>
  <si>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</si>
  <si>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</si>
  <si>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</si>
  <si>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</si>
  <si>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</si>
  <si>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</si>
  <si>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</si>
  <si>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</si>
  <si>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</si>
  <si>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</si>
  <si>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</si>
  <si>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</si>
  <si>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</si>
  <si>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</si>
  <si>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</si>
  <si>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</si>
  <si>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</si>
  <si>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</si>
  <si>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</si>
  <si>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</si>
  <si>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</si>
  <si>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</si>
  <si>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</si>
  <si>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</si>
  <si>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</si>
  <si>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</si>
  <si>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</si>
  <si>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</si>
  <si>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</si>
  <si>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</si>
  <si>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</si>
  <si>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</si>
  <si>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</si>
  <si>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</si>
  <si>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</si>
  <si>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</si>
  <si>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</si>
  <si>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</si>
  <si>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</si>
  <si>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</si>
  <si>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</si>
  <si>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</si>
  <si>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</si>
  <si>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</si>
  <si>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</si>
  <si>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</si>
  <si>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</si>
  <si>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</si>
  <si>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</si>
  <si>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</si>
  <si>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</si>
  <si>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</si>
  <si>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</si>
  <si>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</si>
  <si>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</si>
  <si>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</si>
  <si>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</si>
  <si>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</si>
  <si>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</si>
  <si>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</si>
  <si>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</si>
  <si>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</si>
  <si>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</si>
  <si>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</si>
  <si>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</si>
  <si>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</si>
  <si>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</si>
  <si>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</si>
  <si>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</si>
  <si>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</si>
  <si>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</si>
  <si>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</si>
  <si>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</si>
  <si>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</si>
  <si>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</si>
  <si>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</si>
  <si>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</si>
  <si>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</si>
  <si>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</si>
  <si>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</si>
  <si>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</si>
  <si>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</si>
  <si>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</si>
  <si>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</si>
  <si>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</si>
  <si>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</si>
  <si>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</si>
  <si>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</si>
  <si>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</si>
  <si>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</si>
  <si>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</si>
  <si>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</si>
  <si>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</si>
  <si>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</si>
  <si>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</si>
  <si>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</si>
  <si>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</si>
  <si>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</si>
  <si>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</si>
  <si>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</si>
  <si>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</si>
  <si>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</si>
  <si>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</si>
  <si>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</si>
  <si>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</si>
  <si>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</si>
  <si>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</si>
  <si>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</si>
  <si>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</si>
  <si>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</si>
  <si>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</si>
  <si>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</si>
  <si>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</si>
  <si>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</si>
  <si>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</si>
  <si>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</si>
  <si>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</si>
  <si>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</si>
  <si>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</si>
  <si>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</si>
  <si>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</si>
  <si>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</si>
  <si>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</si>
  <si>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</si>
  <si>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</si>
  <si>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</si>
  <si>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</si>
  <si>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</si>
  <si>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</si>
  <si>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</si>
  <si>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</si>
  <si>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</si>
  <si>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</si>
  <si>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</si>
  <si>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</si>
  <si>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</si>
  <si>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</si>
  <si>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</si>
  <si>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</si>
  <si>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</si>
  <si>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</si>
  <si>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</si>
  <si>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</si>
  <si>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</si>
  <si>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</si>
  <si>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</si>
  <si>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</si>
  <si>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</si>
  <si>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</si>
  <si>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</si>
  <si>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</si>
  <si>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</si>
  <si>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</si>
  <si>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</si>
  <si>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</si>
  <si>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</si>
  <si>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</si>
  <si>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</si>
  <si>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</si>
  <si>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</si>
  <si>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</si>
  <si>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</si>
  <si>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</si>
  <si>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</si>
  <si>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</si>
  <si>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</si>
  <si>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</si>
  <si>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</si>
  <si>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</si>
  <si>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</si>
  <si>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</si>
  <si>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</si>
  <si>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</si>
  <si>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</si>
  <si>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</si>
  <si>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</si>
  <si>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</si>
  <si>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</si>
  <si>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</si>
  <si>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</si>
  <si>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</si>
  <si>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</si>
  <si>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</si>
  <si>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</si>
  <si>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</si>
  <si>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</si>
  <si>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</si>
  <si>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</si>
  <si>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</si>
  <si>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</si>
  <si>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</si>
  <si>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</si>
  <si>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</si>
  <si>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</si>
  <si>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</si>
  <si>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</si>
  <si>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</si>
  <si>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</si>
  <si>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</si>
  <si>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</si>
  <si>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</si>
  <si>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</si>
  <si>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</si>
  <si>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</si>
  <si>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</si>
  <si>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</si>
  <si>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</si>
  <si>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</si>
  <si>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</si>
  <si>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</si>
  <si>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</si>
  <si>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</si>
  <si>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</si>
  <si>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</si>
  <si>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</si>
  <si>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</si>
  <si>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</si>
  <si>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</si>
  <si>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</si>
  <si>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</si>
  <si>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</si>
  <si>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</si>
  <si>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</si>
  <si>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</si>
  <si>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</si>
  <si>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</si>
  <si>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</si>
  <si>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</si>
  <si>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</si>
  <si>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</si>
  <si>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</si>
  <si>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</si>
  <si>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</si>
  <si>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</si>
  <si>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</si>
  <si>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</si>
  <si>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</si>
  <si>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</si>
  <si>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</si>
  <si>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</si>
  <si>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</si>
  <si>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</si>
  <si>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</si>
  <si>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</si>
  <si>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</si>
  <si>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</si>
  <si>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</si>
  <si>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</si>
  <si>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</si>
  <si>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</si>
  <si>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</si>
  <si>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</si>
  <si>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</si>
  <si>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</si>
  <si>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</si>
  <si>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</si>
  <si>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</si>
  <si>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</si>
  <si>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</si>
  <si>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</si>
  <si>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</si>
  <si>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</si>
  <si>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</si>
  <si>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</si>
  <si>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</si>
  <si>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</si>
  <si>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</si>
  <si>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</si>
  <si>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</si>
  <si>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</si>
  <si>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</si>
  <si>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</si>
  <si>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</si>
  <si>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</si>
  <si>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</si>
  <si>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</si>
  <si>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</si>
  <si>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</si>
  <si>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</si>
  <si>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</si>
  <si>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</si>
  <si>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</si>
  <si>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</si>
  <si>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</si>
  <si>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</si>
  <si>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</si>
  <si>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</si>
  <si>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</si>
  <si>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</si>
  <si>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</si>
  <si>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</si>
  <si>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</si>
  <si>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</si>
  <si>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</si>
  <si>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</si>
  <si>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</si>
  <si>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</si>
  <si>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</si>
  <si>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</si>
  <si>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</si>
  <si>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</si>
  <si>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</si>
  <si>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</si>
  <si>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</si>
  <si>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</si>
  <si>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</si>
  <si>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</si>
  <si>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</si>
  <si>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</si>
  <si>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</si>
  <si>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</si>
  <si>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</si>
  <si>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</si>
  <si>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</si>
  <si>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</si>
  <si>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</si>
  <si>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</si>
  <si>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</si>
  <si>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</si>
  <si>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</si>
  <si>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</si>
  <si>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</si>
  <si>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</si>
  <si>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</si>
  <si>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</si>
  <si>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</si>
  <si>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</si>
  <si>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</si>
  <si>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</si>
  <si>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</si>
  <si>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</si>
  <si>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</si>
  <si>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</si>
  <si>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</si>
  <si>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</si>
  <si>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</si>
  <si>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</si>
  <si>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</si>
  <si>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</si>
  <si>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</si>
  <si>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</si>
  <si>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</si>
  <si>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</si>
  <si>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</si>
  <si>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</si>
  <si>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</si>
  <si>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</si>
  <si>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</si>
  <si>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</si>
  <si>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</si>
  <si>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</si>
  <si>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</si>
  <si>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</si>
  <si>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</si>
  <si>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</si>
  <si>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</si>
  <si>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</si>
  <si>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</si>
  <si>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</si>
  <si>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</si>
  <si>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</si>
  <si>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</si>
  <si>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</si>
  <si>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</si>
  <si>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</si>
  <si>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</si>
  <si>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</si>
  <si>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</si>
  <si>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</si>
  <si>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</si>
  <si>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</si>
  <si>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</si>
  <si>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</si>
  <si>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</si>
  <si>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</si>
  <si>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</si>
  <si>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</si>
  <si>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</si>
  <si>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</si>
  <si>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</si>
  <si>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</si>
  <si>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</si>
  <si>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</si>
  <si>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</si>
  <si>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</si>
  <si>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</si>
  <si>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</si>
  <si>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</si>
  <si>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</si>
  <si>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</si>
  <si>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</si>
  <si>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</si>
  <si>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</si>
  <si>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</si>
  <si>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</si>
  <si>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</si>
  <si>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</si>
  <si>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</si>
  <si>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</si>
  <si>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</si>
  <si>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</si>
  <si>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</si>
  <si>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</si>
  <si>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</si>
  <si>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</si>
  <si>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</si>
  <si>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</si>
  <si>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</si>
  <si>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</si>
  <si>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</si>
  <si>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</si>
  <si>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</si>
  <si>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</si>
  <si>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</si>
  <si>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</si>
  <si>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</si>
  <si>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</si>
  <si>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</si>
  <si>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</si>
  <si>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</si>
  <si>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</si>
  <si>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</si>
  <si>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</si>
  <si>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</si>
  <si>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</si>
  <si>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</si>
  <si>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</si>
  <si>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</si>
  <si>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</si>
  <si>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</si>
  <si>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</si>
  <si>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</si>
  <si>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</si>
  <si>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</si>
  <si>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</si>
  <si>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</si>
  <si>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</si>
  <si>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</si>
  <si>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</si>
  <si>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</si>
  <si>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</si>
  <si>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</si>
  <si>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</si>
  <si>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</si>
  <si>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</si>
  <si>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</si>
  <si>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</si>
  <si>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</si>
  <si>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</si>
  <si>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</si>
  <si>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</si>
  <si>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</si>
  <si>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</si>
  <si>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</si>
  <si>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</si>
  <si>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</si>
  <si>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</si>
  <si>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</si>
  <si>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</si>
  <si>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</si>
  <si>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</si>
  <si>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</si>
  <si>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</si>
  <si>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</si>
  <si>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</si>
  <si>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</si>
  <si>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</si>
  <si>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</si>
  <si>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</si>
  <si>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</si>
  <si>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</si>
  <si>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</si>
  <si>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</si>
  <si>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</si>
  <si>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</si>
  <si>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</si>
  <si>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</si>
  <si>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</si>
  <si>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</si>
  <si>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</si>
  <si>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</si>
  <si>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</si>
  <si>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</si>
  <si>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</si>
  <si>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</si>
  <si>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</si>
  <si>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</si>
  <si>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</si>
  <si>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</si>
  <si>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</si>
  <si>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</si>
  <si>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</si>
  <si>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</si>
  <si>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</si>
  <si>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</si>
  <si>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</si>
  <si>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</si>
  <si>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</si>
  <si>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</si>
  <si>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</si>
  <si>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</si>
  <si>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</si>
  <si>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</si>
  <si>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</si>
  <si>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</si>
  <si>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</si>
  <si>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</si>
  <si>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</si>
  <si>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</si>
  <si>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</si>
  <si>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</si>
  <si>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</si>
  <si>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</si>
  <si>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</si>
  <si>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</si>
  <si>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</si>
  <si>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</si>
  <si>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</si>
  <si>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</si>
  <si>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</si>
  <si>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</si>
  <si>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</si>
  <si>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</si>
  <si>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</si>
  <si>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</si>
  <si>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</si>
  <si>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</si>
  <si>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</si>
  <si>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</si>
  <si>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</si>
  <si>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</si>
  <si>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</si>
  <si>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</si>
  <si>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</si>
  <si>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</si>
  <si>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</si>
  <si>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</si>
  <si>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</si>
  <si>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</si>
  <si>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</si>
  <si>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</si>
  <si>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</si>
  <si>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</si>
  <si>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</si>
  <si>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</si>
  <si>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</si>
  <si>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</si>
  <si>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</si>
  <si>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</si>
  <si>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</si>
  <si>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</si>
  <si>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</si>
  <si>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</si>
  <si>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</si>
  <si>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</si>
  <si>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</si>
  <si>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</si>
  <si>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</si>
  <si>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</si>
  <si>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</si>
  <si>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</si>
  <si>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</si>
  <si>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</si>
  <si>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</si>
  <si>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</si>
  <si>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</si>
  <si>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</si>
  <si>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</si>
  <si>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</si>
  <si>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</si>
  <si>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</si>
  <si>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</si>
  <si>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</si>
  <si>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</si>
  <si>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</si>
  <si>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</si>
  <si>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</si>
  <si>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</si>
  <si>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</si>
  <si>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</si>
  <si>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</si>
  <si>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</si>
  <si>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</si>
  <si>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</si>
  <si>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</si>
  <si>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</si>
  <si>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</si>
  <si>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</si>
  <si>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</si>
  <si>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</si>
  <si>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</si>
  <si>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</si>
  <si>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</si>
  <si>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</si>
  <si>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</si>
  <si>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</si>
  <si>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</si>
  <si>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</si>
  <si>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</si>
  <si>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</si>
  <si>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</si>
  <si>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</si>
  <si>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</si>
  <si>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</si>
  <si>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</si>
  <si>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</si>
  <si>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</si>
  <si>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</si>
  <si>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</si>
  <si>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</si>
  <si>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</si>
  <si>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</si>
  <si>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</si>
  <si>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</si>
  <si>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</si>
  <si>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</si>
  <si>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</si>
  <si>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</si>
  <si>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</si>
  <si>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</si>
  <si>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</si>
  <si>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</si>
  <si>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</si>
  <si>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</si>
  <si>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</si>
  <si>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</si>
  <si>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</si>
  <si>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</si>
  <si>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</si>
  <si>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</si>
  <si>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</si>
  <si>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</si>
  <si>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</si>
  <si>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</si>
  <si>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</si>
  <si>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</si>
  <si>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</si>
  <si>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</si>
  <si>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</si>
  <si>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</si>
  <si>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</si>
  <si>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</si>
  <si>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</si>
  <si>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</si>
  <si>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</si>
  <si>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</si>
  <si>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</si>
  <si>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</si>
  <si>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</si>
  <si>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</si>
  <si>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</si>
  <si>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</si>
  <si>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</si>
  <si>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</si>
  <si>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</si>
  <si>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</si>
  <si>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</si>
  <si>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</si>
  <si>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</si>
  <si>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</si>
  <si>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</si>
  <si>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</si>
  <si>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</si>
  <si>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</si>
  <si>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</si>
  <si>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</si>
  <si>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</si>
  <si>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</si>
  <si>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</si>
  <si>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</si>
  <si>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</si>
  <si>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</si>
  <si>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</si>
  <si>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</si>
  <si>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</si>
  <si>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</si>
  <si>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</si>
  <si>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</si>
  <si>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</si>
  <si>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</si>
  <si>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</si>
  <si>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</si>
  <si>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</si>
  <si>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</si>
  <si>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</si>
  <si>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</si>
  <si>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</si>
  <si>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</si>
  <si>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</si>
  <si>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</si>
  <si>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</si>
  <si>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</si>
  <si>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</si>
  <si>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</si>
  <si>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</si>
  <si>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</si>
  <si>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</si>
  <si>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</si>
  <si>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</si>
  <si>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</si>
  <si>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</si>
  <si>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</si>
  <si>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</si>
  <si>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</si>
  <si>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</si>
  <si>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</si>
  <si>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</si>
  <si>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</si>
  <si>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</si>
  <si>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</si>
  <si>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</si>
  <si>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</si>
  <si>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</si>
  <si>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</si>
  <si>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</si>
  <si>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</si>
  <si>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</si>
  <si>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</si>
  <si>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</si>
  <si>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</si>
  <si>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</si>
  <si>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</si>
  <si>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</si>
  <si>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</si>
  <si>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</si>
  <si>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</si>
  <si>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</si>
  <si>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</si>
  <si>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</si>
  <si>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</si>
  <si>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</si>
  <si>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</si>
  <si>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</si>
  <si>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</si>
  <si>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</si>
  <si>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</si>
  <si>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</si>
  <si>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</si>
  <si>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</si>
  <si>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</si>
  <si>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</si>
  <si>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</si>
  <si>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</si>
  <si>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</si>
  <si>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</si>
  <si>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</si>
  <si>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</si>
  <si>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</si>
  <si>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</si>
  <si>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</si>
  <si>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</si>
  <si>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</si>
  <si>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</si>
  <si>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</si>
  <si>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</si>
  <si>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</si>
  <si>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</si>
  <si>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</si>
  <si>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</si>
  <si>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</si>
  <si>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</si>
  <si>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</si>
  <si>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</si>
  <si>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</si>
  <si>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</si>
  <si>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</si>
  <si>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</si>
  <si>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</si>
  <si>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</si>
  <si>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</si>
  <si>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</si>
  <si>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</si>
  <si>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</si>
  <si>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</si>
  <si>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</si>
  <si>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</si>
  <si>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</si>
  <si>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</si>
  <si>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</si>
  <si>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</si>
  <si>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</si>
  <si>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</si>
  <si>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</si>
  <si>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</si>
  <si>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</si>
  <si>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</si>
  <si>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</si>
  <si>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</si>
  <si>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</si>
  <si>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</si>
  <si>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</si>
  <si>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</si>
  <si>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</si>
  <si>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</si>
  <si>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</si>
  <si>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</si>
  <si>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</si>
  <si>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</si>
  <si>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</si>
  <si>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</si>
  <si>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</si>
  <si>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</si>
  <si>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</si>
  <si>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</si>
  <si>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</si>
  <si>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</si>
  <si>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</si>
  <si>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</si>
  <si>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</si>
  <si>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</si>
  <si>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</si>
  <si>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</si>
  <si>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</si>
  <si>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</si>
  <si>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</si>
  <si>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</si>
  <si>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</si>
  <si>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</si>
  <si>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</si>
  <si>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</si>
  <si>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</si>
  <si>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</si>
  <si>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</si>
  <si>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</si>
  <si>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</si>
  <si>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</si>
  <si>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</si>
  <si>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</si>
  <si>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</si>
  <si>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</si>
  <si>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</si>
  <si>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</si>
  <si>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</si>
  <si>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</si>
  <si>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</si>
  <si>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</si>
  <si>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</si>
  <si>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</si>
  <si>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</si>
  <si>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</si>
  <si>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</si>
  <si>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</si>
  <si>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</si>
  <si>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</si>
  <si>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</si>
  <si>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</si>
  <si>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</si>
  <si>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</si>
  <si>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</si>
  <si>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</si>
  <si>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</si>
  <si>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</si>
  <si>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</si>
  <si>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</si>
  <si>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</si>
  <si>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</si>
  <si>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</si>
  <si>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</si>
  <si>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</si>
  <si>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</si>
  <si>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</si>
  <si>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</si>
  <si>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</si>
  <si>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</si>
  <si>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</si>
  <si>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</si>
  <si>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</si>
  <si>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</si>
  <si>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</si>
  <si>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</si>
  <si>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</si>
  <si>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</si>
  <si>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</si>
  <si>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</si>
  <si>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</si>
  <si>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</si>
  <si>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</si>
  <si>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</si>
  <si>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</si>
  <si>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</si>
  <si>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</si>
  <si>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</si>
  <si>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</si>
  <si>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</si>
  <si>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</si>
  <si>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</si>
  <si>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</si>
  <si>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</si>
  <si>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</si>
  <si>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</si>
  <si>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</si>
  <si>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</si>
  <si>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</si>
  <si>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</si>
  <si>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</si>
  <si>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</si>
  <si>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</si>
  <si>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</si>
  <si>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</si>
  <si>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</si>
  <si>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</si>
  <si>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</si>
  <si>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</si>
  <si>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</si>
  <si>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</si>
  <si>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</si>
  <si>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</si>
  <si>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</si>
  <si>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</si>
  <si>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</si>
  <si>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</si>
  <si>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</si>
  <si>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</si>
  <si>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</si>
  <si>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</si>
  <si>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</si>
  <si>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</si>
  <si>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</si>
  <si>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</si>
  <si>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</si>
  <si>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</si>
  <si>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</si>
  <si>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</si>
  <si>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</si>
  <si>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</si>
  <si>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</si>
  <si>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</si>
  <si>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</si>
  <si>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</si>
  <si>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</si>
  <si>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</si>
  <si>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</si>
  <si>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</si>
  <si>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</si>
  <si>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</si>
  <si>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</si>
  <si>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</si>
  <si>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</si>
  <si>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</si>
  <si>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</si>
  <si>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</si>
  <si>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</si>
  <si>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</si>
  <si>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</si>
  <si>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</si>
  <si>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</si>
  <si>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</si>
  <si>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</si>
  <si>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</si>
  <si>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</si>
  <si>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</si>
  <si>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</si>
  <si>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</si>
  <si>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</si>
  <si>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</si>
  <si>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</si>
  <si>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</si>
  <si>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</si>
  <si>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</si>
  <si>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</si>
  <si>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</si>
  <si>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</si>
  <si>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</si>
  <si>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</si>
  <si>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</si>
  <si>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</si>
  <si>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</si>
  <si>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</si>
  <si>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</si>
  <si>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</si>
  <si>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</si>
  <si>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</si>
  <si>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</si>
  <si>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</si>
  <si>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</si>
  <si>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</si>
  <si>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</si>
  <si>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</si>
  <si>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</si>
  <si>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</si>
  <si>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</si>
  <si>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</si>
  <si>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</si>
  <si>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</si>
  <si>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</si>
  <si>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</si>
  <si>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</si>
  <si>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</si>
  <si>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</si>
  <si>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</si>
  <si>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</si>
  <si>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</si>
  <si>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</si>
  <si>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</si>
  <si>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</si>
  <si>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</si>
  <si>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</si>
  <si>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</si>
  <si>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</si>
  <si>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</si>
  <si>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</si>
  <si>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</si>
  <si>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</si>
  <si>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</si>
  <si>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</si>
  <si>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</si>
  <si>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</si>
  <si>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</si>
  <si>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</si>
  <si>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</si>
  <si>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</si>
  <si>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</si>
  <si>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</si>
  <si>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</si>
  <si>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</si>
  <si>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</si>
  <si>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</si>
  <si>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</si>
  <si>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</si>
  <si>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</si>
  <si>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</si>
  <si>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</si>
  <si>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</si>
  <si>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</si>
  <si>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</si>
  <si>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</si>
  <si>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</si>
  <si>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</si>
  <si>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</si>
  <si>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</si>
  <si>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</si>
  <si>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</si>
  <si>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</si>
  <si>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</si>
  <si>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</si>
  <si>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</si>
  <si>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</si>
  <si>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</si>
  <si>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</si>
  <si>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</si>
  <si>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</si>
  <si>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</si>
  <si>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</si>
  <si>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</si>
  <si>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</si>
  <si>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</si>
  <si>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</si>
  <si>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</si>
  <si>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</si>
  <si>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</si>
  <si>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</si>
  <si>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</si>
  <si>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</si>
  <si>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</si>
  <si>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</si>
  <si>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</si>
  <si>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</si>
  <si>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</si>
  <si>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</si>
  <si>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</si>
  <si>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</si>
  <si>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</si>
  <si>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</si>
  <si>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</si>
  <si>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</si>
  <si>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</si>
  <si>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</si>
  <si>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</si>
  <si>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</si>
  <si>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</si>
  <si>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</si>
  <si>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</si>
  <si>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</si>
  <si>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</si>
  <si>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</si>
  <si>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</si>
  <si>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</si>
  <si>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</si>
  <si>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</si>
  <si>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</si>
  <si>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</si>
  <si>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</si>
  <si>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</si>
  <si>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</si>
  <si>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</si>
  <si>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</si>
  <si>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</si>
  <si>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</si>
  <si>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</si>
  <si>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</si>
  <si>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</si>
  <si>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</si>
  <si>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</si>
  <si>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</si>
  <si>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</si>
  <si>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</si>
  <si>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</si>
  <si>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</si>
  <si>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</si>
  <si>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</si>
  <si>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</si>
  <si>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</si>
  <si>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</si>
  <si>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</si>
  <si>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</si>
  <si>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</si>
  <si>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</si>
  <si>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</si>
  <si>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</si>
  <si>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</si>
  <si>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</si>
  <si>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</si>
  <si>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</si>
  <si>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</si>
  <si>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</si>
  <si>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</si>
  <si>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</si>
  <si>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</si>
  <si>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</si>
  <si>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</si>
  <si>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</si>
  <si>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</si>
  <si>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</si>
  <si>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</si>
  <si>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</si>
  <si>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</si>
  <si>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</si>
  <si>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</si>
  <si>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</si>
  <si>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</si>
  <si>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</si>
  <si>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</si>
  <si>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</si>
  <si>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</si>
  <si>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</si>
  <si>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</si>
  <si>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</si>
  <si>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</si>
  <si>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</si>
  <si>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</si>
  <si>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</si>
  <si>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</si>
  <si>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</si>
  <si>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</si>
  <si>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</si>
  <si>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</si>
  <si>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</si>
  <si>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</si>
  <si>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</si>
  <si>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</si>
  <si>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</si>
  <si>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</si>
  <si>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</si>
  <si>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</si>
  <si>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</si>
  <si>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</si>
  <si>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</si>
  <si>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</si>
  <si>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</si>
  <si>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</si>
  <si>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</si>
  <si>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</si>
  <si>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</si>
  <si>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</si>
  <si>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</si>
  <si>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</si>
  <si>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</si>
  <si>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</si>
  <si>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</si>
  <si>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</si>
  <si>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</si>
  <si>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</si>
  <si>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</si>
  <si>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</si>
  <si>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</si>
  <si>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</si>
  <si>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</si>
  <si>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</si>
  <si>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</si>
  <si>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</si>
  <si>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</si>
  <si>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</si>
  <si>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</si>
  <si>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</si>
  <si>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</si>
  <si>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</si>
  <si>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</si>
  <si>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</si>
  <si>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</si>
  <si>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</si>
  <si>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</si>
  <si>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</si>
  <si>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</si>
  <si>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</si>
  <si>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</si>
  <si>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</si>
  <si>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</si>
  <si>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</si>
  <si>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</si>
  <si>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</si>
  <si>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</si>
  <si>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</si>
  <si>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</si>
  <si>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</si>
  <si>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</si>
  <si>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</si>
  <si>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</si>
  <si>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</si>
  <si>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</si>
  <si>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</si>
  <si>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</si>
  <si>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</si>
  <si>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</si>
  <si>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</si>
  <si>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</si>
  <si>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</si>
  <si>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</si>
  <si>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</si>
  <si>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</si>
  <si>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</si>
  <si>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</si>
  <si>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</si>
  <si>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</si>
  <si>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</si>
  <si>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</si>
  <si>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</si>
  <si>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</si>
  <si>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</si>
  <si>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</si>
  <si>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</si>
  <si>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</si>
  <si>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</si>
  <si>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</si>
  <si>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</si>
  <si>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</si>
  <si>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</si>
  <si>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</si>
  <si>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</si>
  <si>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</si>
  <si>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</si>
  <si>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</si>
  <si>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</si>
  <si>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</si>
  <si>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</si>
  <si>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</si>
  <si>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</si>
  <si>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</si>
  <si>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</si>
  <si>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</si>
  <si>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</si>
  <si>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</si>
  <si>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</si>
  <si>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</si>
  <si>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</si>
  <si>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</si>
  <si>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</si>
  <si>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</si>
  <si>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</si>
  <si>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</si>
  <si>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</si>
  <si>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</si>
  <si>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</si>
  <si>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</si>
  <si>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</si>
  <si>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</si>
  <si>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</si>
  <si>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</si>
  <si>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</si>
  <si>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</si>
  <si>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</si>
  <si>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</si>
  <si>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</si>
  <si>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</si>
  <si>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</si>
  <si>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</si>
  <si>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</si>
  <si>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</si>
  <si>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</si>
  <si>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</si>
  <si>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</si>
  <si>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</si>
  <si>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</si>
  <si>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</si>
  <si>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</si>
  <si>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</si>
  <si>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</si>
  <si>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</si>
  <si>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</si>
  <si>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</si>
  <si>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</si>
  <si>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</si>
  <si>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</si>
  <si>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</si>
  <si>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</si>
  <si>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</si>
  <si>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</si>
  <si>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</si>
  <si>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</si>
  <si>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</si>
  <si>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</si>
  <si>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</si>
  <si>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</si>
  <si>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</si>
  <si>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</si>
  <si>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</si>
  <si>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</si>
  <si>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</si>
  <si>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</si>
  <si>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</si>
  <si>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</si>
  <si>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</si>
  <si>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</si>
  <si>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</si>
  <si>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</si>
  <si>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</si>
  <si>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</si>
  <si>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</si>
  <si>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</si>
  <si>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</si>
  <si>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</si>
  <si>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</si>
  <si>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</si>
  <si>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</si>
  <si>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</si>
  <si>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</si>
  <si>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</si>
  <si>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</si>
  <si>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</si>
  <si>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</si>
  <si>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</si>
  <si>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</si>
  <si>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</si>
  <si>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</si>
  <si>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</si>
  <si>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</si>
  <si>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</si>
  <si>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</si>
  <si>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</si>
  <si>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</si>
  <si>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</si>
  <si>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</si>
  <si>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</si>
  <si>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</si>
  <si>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</si>
  <si>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</si>
  <si>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</si>
  <si>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</si>
  <si>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</si>
  <si>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</si>
  <si>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</si>
  <si>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</si>
  <si>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</si>
  <si>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</si>
  <si>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</si>
  <si>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</si>
  <si>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</si>
  <si>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</si>
  <si>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</si>
  <si>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</si>
  <si>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</si>
  <si>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</si>
  <si>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</si>
  <si>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</si>
  <si>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</si>
  <si>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</si>
  <si>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</si>
  <si>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</si>
  <si>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</si>
  <si>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</si>
  <si>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</si>
  <si>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</si>
  <si>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</si>
  <si>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</si>
  <si>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</si>
  <si>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</si>
  <si>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</si>
  <si>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</si>
  <si>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</si>
  <si>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</si>
  <si>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</si>
  <si>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</si>
  <si>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</si>
  <si>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</si>
  <si>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</si>
  <si>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</si>
  <si>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</si>
  <si>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</si>
  <si>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</si>
  <si>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</si>
  <si>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</si>
  <si>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</si>
  <si>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</si>
  <si>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</si>
  <si>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</si>
  <si>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</si>
  <si>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</si>
  <si>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</si>
  <si>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</si>
  <si>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</si>
  <si>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</si>
  <si>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</si>
  <si>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</si>
  <si>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</si>
  <si>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</si>
  <si>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</si>
  <si>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</si>
  <si>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</si>
  <si>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Pref
Chain</t>
  </si>
  <si>
    <t>New</t>
  </si>
  <si>
    <t>x</t>
  </si>
  <si>
    <t>PDB validation says chain B is better, but A is more complete</t>
  </si>
  <si>
    <t>Chain A is longer than B at H8</t>
  </si>
  <si>
    <t>Chain B is longer than A</t>
  </si>
  <si>
    <t>cnr1_human__wt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</si>
</sst>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9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3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4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3" fillId="0" borderId="0" xfId="0" applyFont="1" applyFill="1" applyBorder="1"/>
    <xf numFmtId="0" fontId="14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3" fillId="2" borderId="0" xfId="0" applyFont="1" applyFill="1"/>
    <xf numFmtId="1" fontId="0" fillId="0" borderId="0" xfId="0" applyNumberFormat="1" applyFont="1" applyFill="1" applyBorder="1"/>
    <xf numFmtId="0" fontId="15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1" fontId="17" fillId="0" borderId="0" xfId="0" applyNumberFormat="1" applyFont="1" applyFill="1" applyAlignment="1">
      <alignment horizontal="center"/>
    </xf>
    <xf numFmtId="0" fontId="15" fillId="0" borderId="1" xfId="0" applyFont="1" applyFill="1" applyBorder="1"/>
    <xf numFmtId="1" fontId="15" fillId="0" borderId="0" xfId="0" applyNumberFormat="1" applyFont="1" applyFill="1"/>
    <xf numFmtId="0" fontId="15" fillId="0" borderId="0" xfId="0" applyFont="1" applyFill="1"/>
    <xf numFmtId="0" fontId="18" fillId="0" borderId="0" xfId="0" applyFont="1" applyFill="1"/>
    <xf numFmtId="0" fontId="0" fillId="0" borderId="11" xfId="0" applyFont="1" applyFill="1" applyBorder="1"/>
    <xf numFmtId="0" fontId="15" fillId="0" borderId="11" xfId="0" applyFont="1" applyFill="1" applyBorder="1"/>
    <xf numFmtId="0" fontId="16" fillId="0" borderId="0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 wrapText="1"/>
    </xf>
    <xf numFmtId="0" fontId="0" fillId="0" borderId="6" xfId="0" applyFont="1" applyFill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1" xfId="0" applyFill="1" applyBorder="1"/>
    <xf numFmtId="0" fontId="0" fillId="6" borderId="0" xfId="0" applyFont="1" applyFill="1"/>
    <xf numFmtId="0" fontId="0" fillId="2" borderId="1" xfId="0" applyFont="1" applyFill="1" applyBorder="1"/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17904"/>
        <c:axId val="49294640"/>
      </c:lineChart>
      <c:catAx>
        <c:axId val="678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4640"/>
        <c:crosses val="autoZero"/>
        <c:auto val="1"/>
        <c:lblAlgn val="ctr"/>
        <c:lblOffset val="100"/>
        <c:noMultiLvlLbl val="0"/>
      </c:catAx>
      <c:valAx>
        <c:axId val="49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3712"/>
        <c:axId val="50067360"/>
      </c:scatterChart>
      <c:valAx>
        <c:axId val="500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7360"/>
        <c:crosses val="autoZero"/>
        <c:crossBetween val="midCat"/>
      </c:valAx>
      <c:valAx>
        <c:axId val="500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416"/>
        <c:axId val="69428208"/>
      </c:scatterChart>
      <c:valAx>
        <c:axId val="6942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208"/>
        <c:crosses val="autoZero"/>
        <c:crossBetween val="midCat"/>
      </c:valAx>
      <c:valAx>
        <c:axId val="6942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86352"/>
        <c:axId val="50088144"/>
      </c:scatterChart>
      <c:valAx>
        <c:axId val="5008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8144"/>
        <c:crosses val="autoZero"/>
        <c:crossBetween val="midCat"/>
      </c:valAx>
      <c:valAx>
        <c:axId val="500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L169"/>
  <sheetViews>
    <sheetView zoomScale="110" zoomScaleNormal="110" zoomScalePageLayoutView="110" workbookViewId="0">
      <pane xSplit="3" ySplit="1" topLeftCell="D61" activePane="bottomRight" state="frozenSplit"/>
      <selection pane="topRight" activeCell="D1" sqref="D1"/>
      <selection pane="bottomLeft" activeCell="A2" sqref="A2"/>
      <selection pane="bottomRight" activeCell="A77" sqref="A77:XFD78"/>
    </sheetView>
  </sheetViews>
  <sheetFormatPr baseColWidth="10" defaultColWidth="8.83203125" defaultRowHeight="16" x14ac:dyDescent="0.2"/>
  <cols>
    <col min="1" max="1" width="21.1640625" style="3" bestFit="1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5.6640625" style="90" customWidth="1"/>
    <col min="53" max="53" width="3.1640625" style="125" bestFit="1" customWidth="1"/>
    <col min="54" max="54" width="3.1640625" style="90" customWidth="1"/>
    <col min="55" max="55" width="13.6640625" style="3" customWidth="1"/>
    <col min="56" max="56" width="8.1640625" style="120" bestFit="1" customWidth="1"/>
    <col min="57" max="57" width="5" style="3" bestFit="1" customWidth="1"/>
    <col min="58" max="58" width="5.33203125" style="120" bestFit="1" customWidth="1"/>
    <col min="59" max="59" width="3.1640625" style="121" bestFit="1" customWidth="1"/>
    <col min="60" max="60" width="3.6640625" style="102" bestFit="1" customWidth="1"/>
    <col min="61" max="61" width="3.1640625" style="102" bestFit="1" customWidth="1"/>
    <col min="62" max="62" width="4.1640625" style="102" bestFit="1" customWidth="1"/>
    <col min="63" max="63" width="3.1640625" style="102" bestFit="1" customWidth="1"/>
    <col min="64" max="64" width="3.6640625" style="102" bestFit="1" customWidth="1"/>
    <col min="65" max="65" width="3.1640625" style="102" bestFit="1" customWidth="1"/>
    <col min="66" max="66" width="4.1640625" style="102" bestFit="1" customWidth="1"/>
    <col min="67" max="69" width="3.1640625" style="102" bestFit="1" customWidth="1"/>
    <col min="70" max="70" width="3.1640625" style="118" bestFit="1" customWidth="1"/>
    <col min="71" max="71" width="4.1640625" style="121" bestFit="1" customWidth="1"/>
    <col min="72" max="82" width="4.1640625" style="118" bestFit="1" customWidth="1"/>
    <col min="83" max="83" width="4.1640625" style="121" bestFit="1" customWidth="1"/>
    <col min="84" max="94" width="4.1640625" style="118" bestFit="1" customWidth="1"/>
    <col min="95" max="95" width="8.1640625" style="3" bestFit="1" customWidth="1"/>
    <col min="96" max="1026" width="8.83203125" style="3"/>
    <col min="1027" max="16384" width="8.83203125" style="1"/>
  </cols>
  <sheetData>
    <row r="1" spans="1:1026" s="107" customFormat="1" ht="48" x14ac:dyDescent="0.2">
      <c r="A1" s="107" t="s">
        <v>1282</v>
      </c>
      <c r="B1" s="107" t="s">
        <v>205</v>
      </c>
      <c r="C1" s="107" t="s">
        <v>204</v>
      </c>
      <c r="E1" s="107" t="s">
        <v>1266</v>
      </c>
      <c r="G1" s="107" t="s">
        <v>1267</v>
      </c>
      <c r="I1" s="108" t="s">
        <v>1283</v>
      </c>
      <c r="K1" s="108" t="s">
        <v>1284</v>
      </c>
      <c r="M1" s="107" t="s">
        <v>1268</v>
      </c>
      <c r="O1" s="107" t="s">
        <v>1269</v>
      </c>
      <c r="Q1" s="107" t="s">
        <v>1285</v>
      </c>
      <c r="S1" s="107" t="s">
        <v>1286</v>
      </c>
      <c r="U1" s="107" t="s">
        <v>1270</v>
      </c>
      <c r="W1" s="107" t="s">
        <v>1271</v>
      </c>
      <c r="Y1" s="107" t="s">
        <v>1298</v>
      </c>
      <c r="AA1" s="107" t="s">
        <v>1299</v>
      </c>
      <c r="AC1" s="107" t="s">
        <v>1272</v>
      </c>
      <c r="AE1" s="107" t="s">
        <v>1273</v>
      </c>
      <c r="AG1" s="107" t="s">
        <v>1301</v>
      </c>
      <c r="AI1" s="107" t="s">
        <v>1302</v>
      </c>
      <c r="AK1" s="107" t="s">
        <v>1274</v>
      </c>
      <c r="AM1" s="107" t="s">
        <v>1275</v>
      </c>
      <c r="AO1" s="107" t="s">
        <v>1276</v>
      </c>
      <c r="AQ1" s="107" t="s">
        <v>1277</v>
      </c>
      <c r="AS1" s="107" t="s">
        <v>1278</v>
      </c>
      <c r="AU1" s="107" t="s">
        <v>1279</v>
      </c>
      <c r="AW1" s="107" t="s">
        <v>1280</v>
      </c>
      <c r="AY1" s="107" t="s">
        <v>1281</v>
      </c>
      <c r="AZ1" s="123" t="s">
        <v>1594</v>
      </c>
      <c r="BA1" s="109" t="s">
        <v>291</v>
      </c>
      <c r="BB1" s="122" t="s">
        <v>1595</v>
      </c>
      <c r="BC1" s="107" t="s">
        <v>1322</v>
      </c>
      <c r="BD1" s="110" t="s">
        <v>1314</v>
      </c>
      <c r="BE1" s="107" t="s">
        <v>1386</v>
      </c>
      <c r="BF1" s="110" t="s">
        <v>1421</v>
      </c>
      <c r="BG1" s="111" t="s">
        <v>1266</v>
      </c>
      <c r="BH1" s="112" t="s">
        <v>1283</v>
      </c>
      <c r="BI1" s="113" t="s">
        <v>1268</v>
      </c>
      <c r="BJ1" s="113" t="s">
        <v>1285</v>
      </c>
      <c r="BK1" s="113" t="s">
        <v>1270</v>
      </c>
      <c r="BL1" s="113" t="s">
        <v>1298</v>
      </c>
      <c r="BM1" s="113" t="s">
        <v>1272</v>
      </c>
      <c r="BN1" s="113" t="s">
        <v>1301</v>
      </c>
      <c r="BO1" s="113" t="s">
        <v>1274</v>
      </c>
      <c r="BP1" s="113" t="s">
        <v>1276</v>
      </c>
      <c r="BQ1" s="113" t="s">
        <v>1278</v>
      </c>
      <c r="BR1" s="114" t="s">
        <v>1280</v>
      </c>
      <c r="BS1" s="111" t="s">
        <v>1266</v>
      </c>
      <c r="BT1" s="115" t="s">
        <v>1283</v>
      </c>
      <c r="BU1" s="114" t="s">
        <v>1268</v>
      </c>
      <c r="BV1" s="114" t="s">
        <v>1285</v>
      </c>
      <c r="BW1" s="114" t="s">
        <v>1270</v>
      </c>
      <c r="BX1" s="114" t="s">
        <v>1298</v>
      </c>
      <c r="BY1" s="114" t="s">
        <v>1272</v>
      </c>
      <c r="BZ1" s="114" t="s">
        <v>1301</v>
      </c>
      <c r="CA1" s="114" t="s">
        <v>1274</v>
      </c>
      <c r="CB1" s="114" t="s">
        <v>1276</v>
      </c>
      <c r="CC1" s="114" t="s">
        <v>1278</v>
      </c>
      <c r="CD1" s="114" t="s">
        <v>1280</v>
      </c>
      <c r="CE1" s="111" t="s">
        <v>1267</v>
      </c>
      <c r="CF1" s="115" t="s">
        <v>1284</v>
      </c>
      <c r="CG1" s="114" t="s">
        <v>1269</v>
      </c>
      <c r="CH1" s="114" t="s">
        <v>1286</v>
      </c>
      <c r="CI1" s="114" t="s">
        <v>1271</v>
      </c>
      <c r="CJ1" s="114" t="s">
        <v>1299</v>
      </c>
      <c r="CK1" s="114" t="s">
        <v>1273</v>
      </c>
      <c r="CL1" s="114" t="s">
        <v>1302</v>
      </c>
      <c r="CM1" s="114" t="s">
        <v>1275</v>
      </c>
      <c r="CN1" s="114" t="s">
        <v>1277</v>
      </c>
      <c r="CO1" s="114" t="s">
        <v>1279</v>
      </c>
      <c r="CP1" s="114" t="s">
        <v>1281</v>
      </c>
      <c r="CQ1" s="107" t="s">
        <v>1514</v>
      </c>
    </row>
    <row r="2" spans="1:1026" x14ac:dyDescent="0.2">
      <c r="A2" s="3" t="str">
        <f t="shared" ref="A2:A33" si="0">CONCATENATE(B2,"_",C2)</f>
        <v>5ht1b_human__wt</v>
      </c>
      <c r="B2" s="3" t="s">
        <v>208</v>
      </c>
      <c r="C2" s="3" t="s">
        <v>293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57">
        <v>78</v>
      </c>
      <c r="J2" s="3" t="str">
        <f>IFERROR(MID(VLOOKUP($B2,Seqs!$A:$B,2,0),K2,1),"")</f>
        <v>H</v>
      </c>
      <c r="K2" s="57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P</v>
      </c>
      <c r="AC2" s="3">
        <v>163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BA2" s="124" t="str">
        <f>VLOOKUP(B2,Classification!A:D,2,0)</f>
        <v>A</v>
      </c>
      <c r="BC2" s="1"/>
      <c r="BD2" s="72">
        <f>S2-Q2+1</f>
        <v>4</v>
      </c>
      <c r="BE2" s="57">
        <f t="shared" ref="BE2:BE33" si="1">_xlfn.AGGREGATE(9,6,CE2:CP2)-_xlfn.AGGREGATE(9,6,BS2:CD2)+12</f>
        <v>258</v>
      </c>
      <c r="BF2" s="63" t="b">
        <f t="shared" ref="BF2:BF33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G2" s="116" t="s">
        <v>1513</v>
      </c>
      <c r="BH2" s="102" t="s">
        <v>1513</v>
      </c>
      <c r="BI2" s="102" t="s">
        <v>1513</v>
      </c>
      <c r="BJ2" s="102" t="s">
        <v>1513</v>
      </c>
      <c r="BK2" s="102" t="s">
        <v>1513</v>
      </c>
      <c r="BL2" s="102" t="s">
        <v>1513</v>
      </c>
      <c r="BM2" s="102" t="s">
        <v>1513</v>
      </c>
      <c r="BN2" s="102" t="s">
        <v>1513</v>
      </c>
      <c r="BO2" s="102" t="s">
        <v>1513</v>
      </c>
      <c r="BP2" s="102" t="s">
        <v>1513</v>
      </c>
      <c r="BQ2" s="102" t="s">
        <v>1513</v>
      </c>
      <c r="BR2" s="102" t="s">
        <v>1513</v>
      </c>
      <c r="BS2" s="116">
        <f t="shared" ref="BS2:BS33" si="3">E2</f>
        <v>46</v>
      </c>
      <c r="BT2" s="117">
        <f t="shared" ref="BT2:BT33" si="4">I2</f>
        <v>78</v>
      </c>
      <c r="BU2" s="118">
        <f t="shared" ref="BU2:BU33" si="5">M2</f>
        <v>82</v>
      </c>
      <c r="BV2" s="117">
        <f t="shared" ref="BV2:BV33" si="6">Q2</f>
        <v>114</v>
      </c>
      <c r="BW2" s="118">
        <f t="shared" ref="BW2:BW33" si="7">U2</f>
        <v>118</v>
      </c>
      <c r="BX2" s="117">
        <f t="shared" ref="BX2:BX33" si="8">Y2</f>
        <v>154</v>
      </c>
      <c r="BY2" s="118">
        <f t="shared" ref="BY2:BY33" si="9">AC2</f>
        <v>163</v>
      </c>
      <c r="BZ2" s="117">
        <f t="shared" ref="BZ2:BZ33" si="10">AG2</f>
        <v>199</v>
      </c>
      <c r="CA2" s="118">
        <f t="shared" ref="CA2:CA33" si="11">AK2</f>
        <v>205</v>
      </c>
      <c r="CB2" s="117">
        <f t="shared" ref="CB2:CB33" si="12">AO2</f>
        <v>303</v>
      </c>
      <c r="CC2" s="118">
        <f t="shared" ref="CC2:CC33" si="13">AS2</f>
        <v>347</v>
      </c>
      <c r="CD2" s="117">
        <f t="shared" ref="CD2:CD33" si="14">AW2</f>
        <v>373</v>
      </c>
      <c r="CE2" s="116">
        <f t="shared" ref="CE2:CE33" si="15">G2</f>
        <v>77</v>
      </c>
      <c r="CF2" s="117">
        <f t="shared" ref="CF2:CF33" si="16">K2</f>
        <v>81</v>
      </c>
      <c r="CG2" s="118">
        <f t="shared" ref="CG2:CG33" si="17">O2</f>
        <v>112</v>
      </c>
      <c r="CH2" s="118">
        <f t="shared" ref="CH2:CH33" si="18">S2</f>
        <v>117</v>
      </c>
      <c r="CI2" s="118">
        <f t="shared" ref="CI2:CI33" si="19">W2</f>
        <v>153</v>
      </c>
      <c r="CJ2" s="118">
        <f t="shared" ref="CJ2:CJ33" si="20">AA2</f>
        <v>161</v>
      </c>
      <c r="CK2" s="118">
        <f t="shared" ref="CK2:CK33" si="21">AE2</f>
        <v>187</v>
      </c>
      <c r="CL2" s="118">
        <f t="shared" ref="CL2:CL33" si="22">AI2</f>
        <v>201</v>
      </c>
      <c r="CM2" s="118">
        <f t="shared" ref="CM2:CM33" si="23">AM2</f>
        <v>244</v>
      </c>
      <c r="CN2" s="118">
        <f t="shared" ref="CN2:CN33" si="24">AQ2</f>
        <v>339</v>
      </c>
      <c r="CO2" s="118">
        <f t="shared" ref="CO2:CO33" si="25">AU2</f>
        <v>372</v>
      </c>
      <c r="CP2" s="118">
        <f t="shared" ref="CP2:CP33" si="26">AY2</f>
        <v>384</v>
      </c>
      <c r="CQ2" s="57">
        <f t="shared" ref="CQ2:CQ33" si="27">M2-K2</f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</row>
    <row r="3" spans="1:1026" x14ac:dyDescent="0.2">
      <c r="A3" s="3" t="str">
        <f t="shared" si="0"/>
        <v>5ht1b_human_4IAQ</v>
      </c>
      <c r="B3" s="3" t="s">
        <v>208</v>
      </c>
      <c r="C3" s="3" t="s">
        <v>1248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57">
        <v>78</v>
      </c>
      <c r="J3" s="3" t="str">
        <f>IFERROR(MID(VLOOKUP($B3,Seqs!$A:$B,2,0),K3,1),"")</f>
        <v>H</v>
      </c>
      <c r="K3" s="57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P</v>
      </c>
      <c r="AC3" s="3">
        <v>163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BA3" s="124" t="str">
        <f>VLOOKUP(B3,Classification!A:D,2,0)</f>
        <v>A</v>
      </c>
      <c r="BC3" s="1"/>
      <c r="BD3" s="35" t="s">
        <v>1314</v>
      </c>
      <c r="BE3" s="57">
        <f t="shared" si="1"/>
        <v>247</v>
      </c>
      <c r="BF3" s="63" t="b">
        <f t="shared" si="2"/>
        <v>1</v>
      </c>
      <c r="BG3" s="116" t="s">
        <v>1513</v>
      </c>
      <c r="BH3" s="102" t="s">
        <v>1513</v>
      </c>
      <c r="BI3" s="102" t="s">
        <v>1513</v>
      </c>
      <c r="BJ3" s="102" t="s">
        <v>1513</v>
      </c>
      <c r="BK3" s="102" t="s">
        <v>1513</v>
      </c>
      <c r="BL3" s="102" t="s">
        <v>1513</v>
      </c>
      <c r="BM3" s="102" t="s">
        <v>1513</v>
      </c>
      <c r="BN3" s="102" t="s">
        <v>1513</v>
      </c>
      <c r="BO3" s="102" t="s">
        <v>1513</v>
      </c>
      <c r="BP3" s="102" t="s">
        <v>1513</v>
      </c>
      <c r="BQ3" s="102" t="s">
        <v>1513</v>
      </c>
      <c r="BR3" s="102" t="s">
        <v>1513</v>
      </c>
      <c r="BS3" s="116">
        <f t="shared" si="3"/>
        <v>46</v>
      </c>
      <c r="BT3" s="117">
        <f t="shared" si="4"/>
        <v>78</v>
      </c>
      <c r="BU3" s="118">
        <f t="shared" si="5"/>
        <v>82</v>
      </c>
      <c r="BV3" s="117">
        <f t="shared" si="6"/>
        <v>114</v>
      </c>
      <c r="BW3" s="118">
        <f t="shared" si="7"/>
        <v>118</v>
      </c>
      <c r="BX3" s="117">
        <f t="shared" si="8"/>
        <v>154</v>
      </c>
      <c r="BY3" s="118">
        <f t="shared" si="9"/>
        <v>163</v>
      </c>
      <c r="BZ3" s="117">
        <f t="shared" si="10"/>
        <v>199</v>
      </c>
      <c r="CA3" s="118">
        <f t="shared" si="11"/>
        <v>205</v>
      </c>
      <c r="CB3" s="117">
        <f t="shared" si="12"/>
        <v>304</v>
      </c>
      <c r="CC3" s="118">
        <f t="shared" si="13"/>
        <v>348</v>
      </c>
      <c r="CD3" s="117">
        <f t="shared" si="14"/>
        <v>373</v>
      </c>
      <c r="CE3" s="116">
        <f t="shared" si="15"/>
        <v>77</v>
      </c>
      <c r="CF3" s="117">
        <f t="shared" si="16"/>
        <v>81</v>
      </c>
      <c r="CG3" s="118">
        <f t="shared" si="17"/>
        <v>112</v>
      </c>
      <c r="CH3" s="118">
        <f t="shared" si="18"/>
        <v>117</v>
      </c>
      <c r="CI3" s="118">
        <f t="shared" si="19"/>
        <v>153</v>
      </c>
      <c r="CJ3" s="118">
        <f t="shared" si="20"/>
        <v>161</v>
      </c>
      <c r="CK3" s="118">
        <f t="shared" si="21"/>
        <v>184</v>
      </c>
      <c r="CL3" s="118">
        <f t="shared" si="22"/>
        <v>201</v>
      </c>
      <c r="CM3" s="118">
        <f t="shared" si="23"/>
        <v>238</v>
      </c>
      <c r="CN3" s="118">
        <f t="shared" si="24"/>
        <v>339</v>
      </c>
      <c r="CO3" s="118">
        <f t="shared" si="25"/>
        <v>372</v>
      </c>
      <c r="CP3" s="118">
        <f t="shared" si="26"/>
        <v>384</v>
      </c>
      <c r="CQ3" s="57">
        <f t="shared" si="27"/>
        <v>1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</row>
    <row r="4" spans="1:1026" x14ac:dyDescent="0.2">
      <c r="A4" s="3" t="str">
        <f t="shared" si="0"/>
        <v>5ht1b_human_4IAR</v>
      </c>
      <c r="B4" s="3" t="s">
        <v>208</v>
      </c>
      <c r="C4" s="3" t="s">
        <v>250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57">
        <v>78</v>
      </c>
      <c r="J4" s="3" t="str">
        <f>IFERROR(MID(VLOOKUP($B4,Seqs!$A:$B,2,0),K4,1),"")</f>
        <v>H</v>
      </c>
      <c r="K4" s="57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P</v>
      </c>
      <c r="AC4" s="3">
        <v>163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BA4" s="124" t="str">
        <f>VLOOKUP(B4,Classification!A:D,2,0)</f>
        <v>A</v>
      </c>
      <c r="BC4" s="1"/>
      <c r="BD4" s="1"/>
      <c r="BE4" s="57">
        <f t="shared" si="1"/>
        <v>242</v>
      </c>
      <c r="BF4" s="63" t="b">
        <f t="shared" si="2"/>
        <v>1</v>
      </c>
      <c r="BG4" s="116" t="s">
        <v>1513</v>
      </c>
      <c r="BH4" s="102" t="s">
        <v>1513</v>
      </c>
      <c r="BI4" s="102" t="s">
        <v>1513</v>
      </c>
      <c r="BJ4" s="102" t="s">
        <v>1513</v>
      </c>
      <c r="BK4" s="102" t="s">
        <v>1513</v>
      </c>
      <c r="BL4" s="102" t="s">
        <v>1513</v>
      </c>
      <c r="BM4" s="102" t="s">
        <v>1513</v>
      </c>
      <c r="BN4" s="102" t="s">
        <v>1513</v>
      </c>
      <c r="BO4" s="102" t="s">
        <v>1513</v>
      </c>
      <c r="BP4" s="102" t="s">
        <v>1513</v>
      </c>
      <c r="BQ4" s="102" t="s">
        <v>1513</v>
      </c>
      <c r="BR4" s="102" t="s">
        <v>1513</v>
      </c>
      <c r="BS4" s="116">
        <f t="shared" si="3"/>
        <v>46</v>
      </c>
      <c r="BT4" s="117">
        <f t="shared" si="4"/>
        <v>78</v>
      </c>
      <c r="BU4" s="118">
        <f t="shared" si="5"/>
        <v>82</v>
      </c>
      <c r="BV4" s="117">
        <f t="shared" si="6"/>
        <v>114</v>
      </c>
      <c r="BW4" s="118">
        <f t="shared" si="7"/>
        <v>118</v>
      </c>
      <c r="BX4" s="117">
        <f t="shared" si="8"/>
        <v>154</v>
      </c>
      <c r="BY4" s="118">
        <f t="shared" si="9"/>
        <v>163</v>
      </c>
      <c r="BZ4" s="117">
        <f t="shared" si="10"/>
        <v>199</v>
      </c>
      <c r="CA4" s="118">
        <f t="shared" si="11"/>
        <v>205</v>
      </c>
      <c r="CB4" s="117">
        <f t="shared" si="12"/>
        <v>310</v>
      </c>
      <c r="CC4" s="118">
        <f t="shared" si="13"/>
        <v>347</v>
      </c>
      <c r="CD4" s="117">
        <f t="shared" si="14"/>
        <v>373</v>
      </c>
      <c r="CE4" s="116">
        <f t="shared" si="15"/>
        <v>77</v>
      </c>
      <c r="CF4" s="117">
        <f t="shared" si="16"/>
        <v>81</v>
      </c>
      <c r="CG4" s="118">
        <f t="shared" si="17"/>
        <v>112</v>
      </c>
      <c r="CH4" s="118">
        <f t="shared" si="18"/>
        <v>117</v>
      </c>
      <c r="CI4" s="118">
        <f t="shared" si="19"/>
        <v>153</v>
      </c>
      <c r="CJ4" s="118">
        <f t="shared" si="20"/>
        <v>161</v>
      </c>
      <c r="CK4" s="118">
        <f t="shared" si="21"/>
        <v>184</v>
      </c>
      <c r="CL4" s="118">
        <f t="shared" si="22"/>
        <v>201</v>
      </c>
      <c r="CM4" s="118">
        <f t="shared" si="23"/>
        <v>239</v>
      </c>
      <c r="CN4" s="118">
        <f t="shared" si="24"/>
        <v>339</v>
      </c>
      <c r="CO4" s="118">
        <f t="shared" si="25"/>
        <v>371</v>
      </c>
      <c r="CP4" s="118">
        <f t="shared" si="26"/>
        <v>384</v>
      </c>
      <c r="CQ4" s="57">
        <f t="shared" si="27"/>
        <v>1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</row>
    <row r="5" spans="1:1026" x14ac:dyDescent="0.2">
      <c r="A5" s="3" t="str">
        <f t="shared" si="0"/>
        <v>5ht2b_human__wt</v>
      </c>
      <c r="B5" s="3" t="s">
        <v>209</v>
      </c>
      <c r="C5" s="3" t="s">
        <v>293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57">
        <v>83</v>
      </c>
      <c r="J5" s="3" t="str">
        <f>IFERROR(MID(VLOOKUP($B5,Seqs!$A:$B,2,0),K5,1),"")</f>
        <v>Q</v>
      </c>
      <c r="K5" s="57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R</v>
      </c>
      <c r="AC5" s="3">
        <v>169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BA5" s="124" t="str">
        <f>VLOOKUP(B5,Classification!A:D,2,0)</f>
        <v>A</v>
      </c>
      <c r="BC5" s="1"/>
      <c r="BD5" s="72">
        <f>S5-Q5+1</f>
        <v>4</v>
      </c>
      <c r="BE5" s="57">
        <f t="shared" si="1"/>
        <v>262</v>
      </c>
      <c r="BF5" s="63" t="b">
        <f t="shared" si="2"/>
        <v>1</v>
      </c>
      <c r="BG5" s="116" t="s">
        <v>1513</v>
      </c>
      <c r="BH5" s="102" t="s">
        <v>1513</v>
      </c>
      <c r="BI5" s="102" t="s">
        <v>1513</v>
      </c>
      <c r="BJ5" s="102" t="s">
        <v>1513</v>
      </c>
      <c r="BK5" s="102" t="s">
        <v>1513</v>
      </c>
      <c r="BL5" s="102" t="s">
        <v>1513</v>
      </c>
      <c r="BM5" s="102" t="s">
        <v>1513</v>
      </c>
      <c r="BN5" s="102" t="s">
        <v>1513</v>
      </c>
      <c r="BO5" s="102" t="s">
        <v>1513</v>
      </c>
      <c r="BP5" s="102" t="s">
        <v>1513</v>
      </c>
      <c r="BQ5" s="102" t="s">
        <v>1513</v>
      </c>
      <c r="BR5" s="102" t="s">
        <v>1513</v>
      </c>
      <c r="BS5" s="116">
        <f t="shared" si="3"/>
        <v>54</v>
      </c>
      <c r="BT5" s="117">
        <f t="shared" si="4"/>
        <v>83</v>
      </c>
      <c r="BU5" s="118">
        <f t="shared" si="5"/>
        <v>87</v>
      </c>
      <c r="BV5" s="117">
        <f t="shared" si="6"/>
        <v>120</v>
      </c>
      <c r="BW5" s="118">
        <f t="shared" si="7"/>
        <v>124</v>
      </c>
      <c r="BX5" s="117">
        <f t="shared" si="8"/>
        <v>160</v>
      </c>
      <c r="BY5" s="118">
        <f t="shared" si="9"/>
        <v>169</v>
      </c>
      <c r="BZ5" s="117">
        <f t="shared" si="10"/>
        <v>207</v>
      </c>
      <c r="CA5" s="118">
        <f t="shared" si="11"/>
        <v>214</v>
      </c>
      <c r="CB5" s="117">
        <f t="shared" si="12"/>
        <v>313</v>
      </c>
      <c r="CC5" s="118">
        <f t="shared" si="13"/>
        <v>355</v>
      </c>
      <c r="CD5" s="117">
        <f t="shared" si="14"/>
        <v>384</v>
      </c>
      <c r="CE5" s="116">
        <f t="shared" si="15"/>
        <v>82</v>
      </c>
      <c r="CF5" s="117">
        <f t="shared" si="16"/>
        <v>86</v>
      </c>
      <c r="CG5" s="118">
        <f t="shared" si="17"/>
        <v>117</v>
      </c>
      <c r="CH5" s="118">
        <f t="shared" si="18"/>
        <v>123</v>
      </c>
      <c r="CI5" s="118">
        <f t="shared" si="19"/>
        <v>159</v>
      </c>
      <c r="CJ5" s="118">
        <f t="shared" si="20"/>
        <v>167</v>
      </c>
      <c r="CK5" s="118">
        <f t="shared" si="21"/>
        <v>194</v>
      </c>
      <c r="CL5" s="118">
        <f t="shared" si="22"/>
        <v>209</v>
      </c>
      <c r="CM5" s="118">
        <f t="shared" si="23"/>
        <v>255</v>
      </c>
      <c r="CN5" s="118">
        <f t="shared" si="24"/>
        <v>350</v>
      </c>
      <c r="CO5" s="118">
        <f t="shared" si="25"/>
        <v>383</v>
      </c>
      <c r="CP5" s="118">
        <f t="shared" si="26"/>
        <v>395</v>
      </c>
      <c r="CQ5" s="57">
        <f t="shared" si="27"/>
        <v>1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</row>
    <row r="6" spans="1:1026" x14ac:dyDescent="0.2">
      <c r="A6" s="3" t="str">
        <f t="shared" si="0"/>
        <v>5ht2b_human_4IB4</v>
      </c>
      <c r="B6" s="3" t="s">
        <v>209</v>
      </c>
      <c r="C6" s="3" t="s">
        <v>260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57">
        <v>83</v>
      </c>
      <c r="J6" s="3" t="str">
        <f>IFERROR(MID(VLOOKUP($B6,Seqs!$A:$B,2,0),K6,1),"")</f>
        <v>Q</v>
      </c>
      <c r="K6" s="57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129</v>
      </c>
      <c r="Z6" s="3" t="str">
        <f>IFERROR(MID(VLOOKUP($B6,Seqs!$A:$B,2,0),AA6,1),"")</f>
        <v/>
      </c>
      <c r="AA6" s="3" t="s">
        <v>129</v>
      </c>
      <c r="AB6" s="3" t="str">
        <f>IFERROR(MID(VLOOKUP($B6,Seqs!$A:$B,2,0),AC6,1),"")</f>
        <v>A</v>
      </c>
      <c r="AC6" s="3">
        <v>170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K</v>
      </c>
      <c r="AM6" s="3">
        <v>246</v>
      </c>
      <c r="AN6" s="3" t="str">
        <f>IFERROR(MID(VLOOKUP($B6,Seqs!$A:$B,2,0),AO6,1),"")</f>
        <v>S</v>
      </c>
      <c r="AO6" s="3">
        <v>317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BA6" s="124" t="str">
        <f>VLOOKUP(B6,Classification!A:D,2,0)</f>
        <v>A</v>
      </c>
      <c r="BC6" s="1"/>
      <c r="BD6" s="35" t="s">
        <v>1314</v>
      </c>
      <c r="BE6" s="57">
        <f t="shared" si="1"/>
        <v>241</v>
      </c>
      <c r="BF6" s="63" t="b">
        <f t="shared" si="2"/>
        <v>1</v>
      </c>
      <c r="BG6" s="116" t="s">
        <v>1513</v>
      </c>
      <c r="BH6" s="102" t="s">
        <v>1513</v>
      </c>
      <c r="BI6" s="102" t="s">
        <v>1513</v>
      </c>
      <c r="BJ6" s="102" t="s">
        <v>1513</v>
      </c>
      <c r="BK6" s="102" t="s">
        <v>1513</v>
      </c>
      <c r="BL6" s="102" t="s">
        <v>1513</v>
      </c>
      <c r="BM6" s="102" t="s">
        <v>1513</v>
      </c>
      <c r="BN6" s="102" t="s">
        <v>1513</v>
      </c>
      <c r="BO6" s="102" t="s">
        <v>1513</v>
      </c>
      <c r="BP6" s="102" t="s">
        <v>1513</v>
      </c>
      <c r="BQ6" s="102" t="s">
        <v>1513</v>
      </c>
      <c r="BR6" s="102" t="s">
        <v>1513</v>
      </c>
      <c r="BS6" s="116">
        <f t="shared" si="3"/>
        <v>54</v>
      </c>
      <c r="BT6" s="117">
        <f t="shared" si="4"/>
        <v>83</v>
      </c>
      <c r="BU6" s="118">
        <f t="shared" si="5"/>
        <v>87</v>
      </c>
      <c r="BV6" s="117">
        <f t="shared" si="6"/>
        <v>120</v>
      </c>
      <c r="BW6" s="118">
        <f t="shared" si="7"/>
        <v>124</v>
      </c>
      <c r="BX6" s="117" t="str">
        <f t="shared" si="8"/>
        <v>-</v>
      </c>
      <c r="BY6" s="118">
        <f t="shared" si="9"/>
        <v>170</v>
      </c>
      <c r="BZ6" s="117">
        <f t="shared" si="10"/>
        <v>207</v>
      </c>
      <c r="CA6" s="118">
        <f t="shared" si="11"/>
        <v>214</v>
      </c>
      <c r="CB6" s="117">
        <f t="shared" si="12"/>
        <v>317</v>
      </c>
      <c r="CC6" s="118">
        <f t="shared" si="13"/>
        <v>355</v>
      </c>
      <c r="CD6" s="117">
        <f t="shared" si="14"/>
        <v>384</v>
      </c>
      <c r="CE6" s="116">
        <f t="shared" si="15"/>
        <v>82</v>
      </c>
      <c r="CF6" s="117">
        <f t="shared" si="16"/>
        <v>86</v>
      </c>
      <c r="CG6" s="118">
        <f t="shared" si="17"/>
        <v>117</v>
      </c>
      <c r="CH6" s="118">
        <f t="shared" si="18"/>
        <v>123</v>
      </c>
      <c r="CI6" s="118">
        <f t="shared" si="19"/>
        <v>159</v>
      </c>
      <c r="CJ6" s="118" t="str">
        <f t="shared" si="20"/>
        <v>-</v>
      </c>
      <c r="CK6" s="118">
        <f t="shared" si="21"/>
        <v>194</v>
      </c>
      <c r="CL6" s="118">
        <f t="shared" si="22"/>
        <v>209</v>
      </c>
      <c r="CM6" s="118">
        <f t="shared" si="23"/>
        <v>246</v>
      </c>
      <c r="CN6" s="118">
        <f t="shared" si="24"/>
        <v>350</v>
      </c>
      <c r="CO6" s="118">
        <f t="shared" si="25"/>
        <v>383</v>
      </c>
      <c r="CP6" s="118">
        <f t="shared" si="26"/>
        <v>395</v>
      </c>
      <c r="CQ6" s="57">
        <f t="shared" si="27"/>
        <v>1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</row>
    <row r="7" spans="1:1026" x14ac:dyDescent="0.2">
      <c r="A7" s="3" t="str">
        <f t="shared" si="0"/>
        <v>5ht2b_human_4IB4_dist</v>
      </c>
      <c r="B7" s="3" t="s">
        <v>209</v>
      </c>
      <c r="C7" s="3" t="s">
        <v>1383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57">
        <v>83</v>
      </c>
      <c r="J7" s="3" t="str">
        <f>IFERROR(MID(VLOOKUP($B7,Seqs!$A:$B,2,0),K7,1),"")</f>
        <v>Q</v>
      </c>
      <c r="K7" s="57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129</v>
      </c>
      <c r="Z7" s="3" t="str">
        <f>IFERROR(MID(VLOOKUP($B7,Seqs!$A:$B,2,0),AA7,1),"")</f>
        <v/>
      </c>
      <c r="AA7" s="3" t="s">
        <v>129</v>
      </c>
      <c r="AB7" s="3" t="str">
        <f>IFERROR(MID(VLOOKUP($B7,Seqs!$A:$B,2,0),AC7,1),"")</f>
        <v>Q</v>
      </c>
      <c r="AC7" s="3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K</v>
      </c>
      <c r="AM7" s="3">
        <v>246</v>
      </c>
      <c r="AN7" s="3" t="str">
        <f>IFERROR(MID(VLOOKUP($B7,Seqs!$A:$B,2,0),AO7,1),"")</f>
        <v>S</v>
      </c>
      <c r="AO7" s="3">
        <v>317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BA7" s="124" t="str">
        <f>VLOOKUP(B7,Classification!A:D,2,0)</f>
        <v>A</v>
      </c>
      <c r="BC7" s="1"/>
      <c r="BD7" s="1"/>
      <c r="BE7" s="57">
        <f t="shared" si="1"/>
        <v>246</v>
      </c>
      <c r="BF7" s="63" t="b">
        <f t="shared" si="2"/>
        <v>1</v>
      </c>
      <c r="BG7" s="116" t="s">
        <v>1513</v>
      </c>
      <c r="BH7" s="102" t="s">
        <v>1513</v>
      </c>
      <c r="BI7" s="102" t="s">
        <v>1513</v>
      </c>
      <c r="BJ7" s="102" t="s">
        <v>1513</v>
      </c>
      <c r="BK7" s="102" t="s">
        <v>1513</v>
      </c>
      <c r="BL7" s="102" t="s">
        <v>1513</v>
      </c>
      <c r="BM7" s="102" t="s">
        <v>1513</v>
      </c>
      <c r="BN7" s="102" t="s">
        <v>1513</v>
      </c>
      <c r="BO7" s="102" t="s">
        <v>1513</v>
      </c>
      <c r="BP7" s="102" t="s">
        <v>1513</v>
      </c>
      <c r="BQ7" s="102" t="s">
        <v>1513</v>
      </c>
      <c r="BR7" s="102" t="s">
        <v>1513</v>
      </c>
      <c r="BS7" s="116">
        <f t="shared" si="3"/>
        <v>54</v>
      </c>
      <c r="BT7" s="117">
        <f t="shared" si="4"/>
        <v>83</v>
      </c>
      <c r="BU7" s="118">
        <f t="shared" si="5"/>
        <v>87</v>
      </c>
      <c r="BV7" s="117">
        <f t="shared" si="6"/>
        <v>120</v>
      </c>
      <c r="BW7" s="118">
        <f t="shared" si="7"/>
        <v>124</v>
      </c>
      <c r="BX7" s="117" t="str">
        <f t="shared" si="8"/>
        <v>-</v>
      </c>
      <c r="BY7" s="118">
        <f t="shared" si="9"/>
        <v>165</v>
      </c>
      <c r="BZ7" s="117">
        <f t="shared" si="10"/>
        <v>207</v>
      </c>
      <c r="CA7" s="118">
        <f t="shared" si="11"/>
        <v>214</v>
      </c>
      <c r="CB7" s="117">
        <f t="shared" si="12"/>
        <v>317</v>
      </c>
      <c r="CC7" s="118">
        <f t="shared" si="13"/>
        <v>355</v>
      </c>
      <c r="CD7" s="117">
        <f t="shared" si="14"/>
        <v>384</v>
      </c>
      <c r="CE7" s="116">
        <f t="shared" si="15"/>
        <v>82</v>
      </c>
      <c r="CF7" s="117">
        <f t="shared" si="16"/>
        <v>86</v>
      </c>
      <c r="CG7" s="118">
        <f t="shared" si="17"/>
        <v>117</v>
      </c>
      <c r="CH7" s="118">
        <f t="shared" si="18"/>
        <v>123</v>
      </c>
      <c r="CI7" s="118">
        <f t="shared" si="19"/>
        <v>159</v>
      </c>
      <c r="CJ7" s="118" t="str">
        <f t="shared" si="20"/>
        <v>-</v>
      </c>
      <c r="CK7" s="118">
        <f t="shared" si="21"/>
        <v>194</v>
      </c>
      <c r="CL7" s="118">
        <f t="shared" si="22"/>
        <v>209</v>
      </c>
      <c r="CM7" s="118">
        <f t="shared" si="23"/>
        <v>246</v>
      </c>
      <c r="CN7" s="118">
        <f t="shared" si="24"/>
        <v>350</v>
      </c>
      <c r="CO7" s="118">
        <f t="shared" si="25"/>
        <v>383</v>
      </c>
      <c r="CP7" s="118">
        <f t="shared" si="26"/>
        <v>395</v>
      </c>
      <c r="CQ7" s="57">
        <f t="shared" si="27"/>
        <v>1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</row>
    <row r="8" spans="1:1026" x14ac:dyDescent="0.2">
      <c r="A8" s="3" t="str">
        <f t="shared" si="0"/>
        <v>5ht2b_human_4NC3</v>
      </c>
      <c r="B8" s="3" t="s">
        <v>209</v>
      </c>
      <c r="C8" s="3" t="s">
        <v>1534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57">
        <v>83</v>
      </c>
      <c r="J8" s="3" t="str">
        <f>IFERROR(MID(VLOOKUP($B8,Seqs!$A:$B,2,0),K8,1),"")</f>
        <v>Q</v>
      </c>
      <c r="K8" s="57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129</v>
      </c>
      <c r="Z8" s="3" t="str">
        <f>IFERROR(MID(VLOOKUP($B8,Seqs!$A:$B,2,0),AA8,1),"")</f>
        <v/>
      </c>
      <c r="AA8" s="3" t="s">
        <v>129</v>
      </c>
      <c r="AB8" s="3" t="str">
        <f>IFERROR(MID(VLOOKUP($B8,Seqs!$A:$B,2,0),AC8,1),"")</f>
        <v>A</v>
      </c>
      <c r="AC8" s="3">
        <v>170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K</v>
      </c>
      <c r="AM8" s="3">
        <v>246</v>
      </c>
      <c r="AN8" s="3" t="str">
        <f>IFERROR(MID(VLOOKUP($B8,Seqs!$A:$B,2,0),AO8,1),"")</f>
        <v>S</v>
      </c>
      <c r="AO8" s="3">
        <v>317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BA8" s="124" t="str">
        <f>VLOOKUP(B8,Classification!A:D,2,0)</f>
        <v>A</v>
      </c>
      <c r="BC8" s="1"/>
      <c r="BD8" s="4"/>
      <c r="BE8" s="57">
        <f t="shared" si="1"/>
        <v>241</v>
      </c>
      <c r="BF8" s="63" t="b">
        <f t="shared" si="2"/>
        <v>1</v>
      </c>
      <c r="BG8" s="116" t="s">
        <v>1513</v>
      </c>
      <c r="BH8" s="102" t="s">
        <v>1513</v>
      </c>
      <c r="BI8" s="102" t="s">
        <v>1513</v>
      </c>
      <c r="BJ8" s="102" t="s">
        <v>1513</v>
      </c>
      <c r="BK8" s="102" t="s">
        <v>1513</v>
      </c>
      <c r="BL8" s="102" t="s">
        <v>1513</v>
      </c>
      <c r="BM8" s="102" t="s">
        <v>1513</v>
      </c>
      <c r="BN8" s="102" t="s">
        <v>1513</v>
      </c>
      <c r="BO8" s="102" t="s">
        <v>1513</v>
      </c>
      <c r="BP8" s="102" t="s">
        <v>1513</v>
      </c>
      <c r="BQ8" s="102" t="s">
        <v>1513</v>
      </c>
      <c r="BR8" s="102" t="s">
        <v>1513</v>
      </c>
      <c r="BS8" s="116">
        <f t="shared" si="3"/>
        <v>54</v>
      </c>
      <c r="BT8" s="117">
        <f t="shared" si="4"/>
        <v>83</v>
      </c>
      <c r="BU8" s="118">
        <f t="shared" si="5"/>
        <v>87</v>
      </c>
      <c r="BV8" s="117">
        <f t="shared" si="6"/>
        <v>120</v>
      </c>
      <c r="BW8" s="118">
        <f t="shared" si="7"/>
        <v>124</v>
      </c>
      <c r="BX8" s="117" t="str">
        <f t="shared" si="8"/>
        <v>-</v>
      </c>
      <c r="BY8" s="118">
        <f t="shared" si="9"/>
        <v>170</v>
      </c>
      <c r="BZ8" s="117">
        <f t="shared" si="10"/>
        <v>207</v>
      </c>
      <c r="CA8" s="118">
        <f t="shared" si="11"/>
        <v>214</v>
      </c>
      <c r="CB8" s="117">
        <f t="shared" si="12"/>
        <v>317</v>
      </c>
      <c r="CC8" s="118">
        <f t="shared" si="13"/>
        <v>355</v>
      </c>
      <c r="CD8" s="117">
        <f t="shared" si="14"/>
        <v>384</v>
      </c>
      <c r="CE8" s="116">
        <f t="shared" si="15"/>
        <v>82</v>
      </c>
      <c r="CF8" s="117">
        <f t="shared" si="16"/>
        <v>86</v>
      </c>
      <c r="CG8" s="118">
        <f t="shared" si="17"/>
        <v>117</v>
      </c>
      <c r="CH8" s="118">
        <f t="shared" si="18"/>
        <v>123</v>
      </c>
      <c r="CI8" s="118">
        <f t="shared" si="19"/>
        <v>159</v>
      </c>
      <c r="CJ8" s="118" t="str">
        <f t="shared" si="20"/>
        <v>-</v>
      </c>
      <c r="CK8" s="118">
        <f t="shared" si="21"/>
        <v>194</v>
      </c>
      <c r="CL8" s="118">
        <f t="shared" si="22"/>
        <v>209</v>
      </c>
      <c r="CM8" s="118">
        <f t="shared" si="23"/>
        <v>246</v>
      </c>
      <c r="CN8" s="118">
        <f t="shared" si="24"/>
        <v>350</v>
      </c>
      <c r="CO8" s="118">
        <f t="shared" si="25"/>
        <v>383</v>
      </c>
      <c r="CP8" s="118">
        <f t="shared" si="26"/>
        <v>395</v>
      </c>
      <c r="CQ8" s="57">
        <f t="shared" si="27"/>
        <v>1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</row>
    <row r="9" spans="1:1026" x14ac:dyDescent="0.2">
      <c r="A9" s="3" t="str">
        <f t="shared" si="0"/>
        <v>aa2ar_human__wt</v>
      </c>
      <c r="B9" s="3" t="s">
        <v>332</v>
      </c>
      <c r="C9" s="3" t="s">
        <v>293</v>
      </c>
      <c r="D9" s="3" t="str">
        <f>IFERROR(MID(VLOOKUP($B9,Seqs!$A:$B,2,0),E9,1),"")</f>
        <v>P</v>
      </c>
      <c r="E9" s="3">
        <v>2</v>
      </c>
      <c r="F9" s="3" t="str">
        <f>IFERROR(MID(VLOOKUP($B9,Seqs!$A:$B,2,0),G9,1),"")</f>
        <v>N</v>
      </c>
      <c r="G9" s="3">
        <v>34</v>
      </c>
      <c r="H9" s="3" t="str">
        <f>IFERROR(MID(VLOOKUP($B9,Seqs!$A:$B,2,0),I9,1),"")</f>
        <v>S</v>
      </c>
      <c r="I9" s="57">
        <v>35</v>
      </c>
      <c r="J9" s="3" t="str">
        <f>IFERROR(MID(VLOOKUP($B9,Seqs!$A:$B,2,0),K9,1),"")</f>
        <v>Q</v>
      </c>
      <c r="K9" s="57">
        <v>38</v>
      </c>
      <c r="L9" s="3" t="str">
        <f>IFERROR(MID(VLOOKUP($B9,Seqs!$A:$B,2,0),M9,1),"")</f>
        <v>N</v>
      </c>
      <c r="M9" s="3">
        <v>39</v>
      </c>
      <c r="N9" s="3" t="str">
        <f>IFERROR(MID(VLOOKUP($B9,Seqs!$A:$B,2,0),O9,1),"")</f>
        <v>G</v>
      </c>
      <c r="O9" s="3">
        <v>69</v>
      </c>
      <c r="P9" s="3" t="str">
        <f>IFERROR(MID(VLOOKUP($B9,Seqs!$A:$B,2,0),Q9,1),"")</f>
        <v>F</v>
      </c>
      <c r="Q9" s="3">
        <v>70</v>
      </c>
      <c r="R9" s="3" t="str">
        <f>IFERROR(MID(VLOOKUP($B9,Seqs!$A:$B,2,0),S9,1),"")</f>
        <v>A</v>
      </c>
      <c r="S9" s="3">
        <v>72</v>
      </c>
      <c r="T9" s="3" t="str">
        <f>IFERROR(MID(VLOOKUP($B9,Seqs!$A:$B,2,0),U9,1),"")</f>
        <v>A</v>
      </c>
      <c r="U9" s="3">
        <v>73</v>
      </c>
      <c r="V9" s="3" t="str">
        <f>IFERROR(MID(VLOOKUP($B9,Seqs!$A:$B,2,0),W9,1),"")</f>
        <v>I</v>
      </c>
      <c r="W9" s="3">
        <v>108</v>
      </c>
      <c r="X9" s="3" t="str">
        <f>IFERROR(MID(VLOOKUP($B9,Seqs!$A:$B,2,0),Y9,1),"")</f>
        <v>P</v>
      </c>
      <c r="Y9" s="3">
        <v>109</v>
      </c>
      <c r="Z9" s="3" t="str">
        <f>IFERROR(MID(VLOOKUP($B9,Seqs!$A:$B,2,0),AA9,1),"")</f>
        <v>V</v>
      </c>
      <c r="AA9" s="3">
        <v>116</v>
      </c>
      <c r="AB9" s="3" t="str">
        <f>IFERROR(MID(VLOOKUP($B9,Seqs!$A:$B,2,0),AC9,1),"")</f>
        <v>G</v>
      </c>
      <c r="AC9" s="3">
        <v>118</v>
      </c>
      <c r="AD9" s="3" t="str">
        <f>IFERROR(MID(VLOOKUP($B9,Seqs!$A:$B,2,0),AE9,1),"")</f>
        <v>G</v>
      </c>
      <c r="AE9" s="3">
        <v>142</v>
      </c>
      <c r="AF9" s="3" t="str">
        <f>IFERROR(MID(VLOOKUP($B9,Seqs!$A:$B,2,0),AG9,1),"")</f>
        <v>C</v>
      </c>
      <c r="AG9" s="3">
        <v>166</v>
      </c>
      <c r="AH9" s="3" t="str">
        <f>IFERROR(MID(VLOOKUP($B9,Seqs!$A:$B,2,0),AI9,1),"")</f>
        <v>F</v>
      </c>
      <c r="AI9" s="3">
        <v>168</v>
      </c>
      <c r="AJ9" s="3" t="str">
        <f>IFERROR(MID(VLOOKUP($B9,Seqs!$A:$B,2,0),AK9,1),"")</f>
        <v>P</v>
      </c>
      <c r="AK9" s="3">
        <v>173</v>
      </c>
      <c r="AL9" s="3" t="str">
        <f>IFERROR(MID(VLOOKUP($B9,Seqs!$A:$B,2,0),AM9,1),"")</f>
        <v>S</v>
      </c>
      <c r="AM9" s="3">
        <v>213</v>
      </c>
      <c r="AN9" s="3" t="str">
        <f>IFERROR(MID(VLOOKUP($B9,Seqs!$A:$B,2,0),AO9,1),"")</f>
        <v>E</v>
      </c>
      <c r="AO9" s="3">
        <v>219</v>
      </c>
      <c r="AP9" s="3" t="str">
        <f>IFERROR(MID(VLOOKUP($B9,Seqs!$A:$B,2,0),AQ9,1),"")</f>
        <v>C</v>
      </c>
      <c r="AQ9" s="3">
        <v>259</v>
      </c>
      <c r="AR9" s="3" t="str">
        <f>IFERROR(MID(VLOOKUP($B9,Seqs!$A:$B,2,0),AS9,1),"")</f>
        <v>P</v>
      </c>
      <c r="AS9" s="3">
        <v>266</v>
      </c>
      <c r="AT9" s="3" t="str">
        <f>IFERROR(MID(VLOOKUP($B9,Seqs!$A:$B,2,0),AU9,1),"")</f>
        <v>R</v>
      </c>
      <c r="AU9" s="3">
        <v>291</v>
      </c>
      <c r="AV9" s="3" t="str">
        <f>IFERROR(MID(VLOOKUP($B9,Seqs!$A:$B,2,0),AW9,1),"")</f>
        <v>I</v>
      </c>
      <c r="AW9" s="3">
        <v>292</v>
      </c>
      <c r="AX9" s="3" t="str">
        <f>IFERROR(MID(VLOOKUP($B9,Seqs!$A:$B,2,0),AY9,1),"")</f>
        <v>F</v>
      </c>
      <c r="AY9" s="3">
        <v>314</v>
      </c>
      <c r="BA9" s="124" t="str">
        <f>VLOOKUP(B9,Classification!A:D,2,0)</f>
        <v>A</v>
      </c>
      <c r="BC9" s="1"/>
      <c r="BD9" s="72">
        <f>S9-Q9+1</f>
        <v>3</v>
      </c>
      <c r="BE9" s="57">
        <f t="shared" si="1"/>
        <v>274</v>
      </c>
      <c r="BF9" s="63" t="b">
        <f t="shared" si="2"/>
        <v>1</v>
      </c>
      <c r="BG9" s="116" t="s">
        <v>1513</v>
      </c>
      <c r="BH9" s="102" t="s">
        <v>1513</v>
      </c>
      <c r="BI9" s="102" t="s">
        <v>1513</v>
      </c>
      <c r="BJ9" s="102" t="s">
        <v>1513</v>
      </c>
      <c r="BK9" s="102" t="s">
        <v>1513</v>
      </c>
      <c r="BL9" s="102" t="s">
        <v>1513</v>
      </c>
      <c r="BM9" s="102" t="s">
        <v>1513</v>
      </c>
      <c r="BN9" s="102" t="s">
        <v>1513</v>
      </c>
      <c r="BO9" s="102" t="s">
        <v>1513</v>
      </c>
      <c r="BP9" s="102" t="s">
        <v>1513</v>
      </c>
      <c r="BQ9" s="102" t="s">
        <v>1513</v>
      </c>
      <c r="BR9" s="102" t="s">
        <v>1513</v>
      </c>
      <c r="BS9" s="116">
        <f t="shared" si="3"/>
        <v>2</v>
      </c>
      <c r="BT9" s="117">
        <f t="shared" si="4"/>
        <v>35</v>
      </c>
      <c r="BU9" s="118">
        <f t="shared" si="5"/>
        <v>39</v>
      </c>
      <c r="BV9" s="117">
        <f t="shared" si="6"/>
        <v>70</v>
      </c>
      <c r="BW9" s="118">
        <f t="shared" si="7"/>
        <v>73</v>
      </c>
      <c r="BX9" s="117">
        <f t="shared" si="8"/>
        <v>109</v>
      </c>
      <c r="BY9" s="118">
        <f t="shared" si="9"/>
        <v>118</v>
      </c>
      <c r="BZ9" s="117">
        <f t="shared" si="10"/>
        <v>166</v>
      </c>
      <c r="CA9" s="118">
        <f t="shared" si="11"/>
        <v>173</v>
      </c>
      <c r="CB9" s="117">
        <f t="shared" si="12"/>
        <v>219</v>
      </c>
      <c r="CC9" s="118">
        <f t="shared" si="13"/>
        <v>266</v>
      </c>
      <c r="CD9" s="117">
        <f t="shared" si="14"/>
        <v>292</v>
      </c>
      <c r="CE9" s="116">
        <f t="shared" si="15"/>
        <v>34</v>
      </c>
      <c r="CF9" s="117">
        <f t="shared" si="16"/>
        <v>38</v>
      </c>
      <c r="CG9" s="118">
        <f t="shared" si="17"/>
        <v>69</v>
      </c>
      <c r="CH9" s="118">
        <f t="shared" si="18"/>
        <v>72</v>
      </c>
      <c r="CI9" s="118">
        <f t="shared" si="19"/>
        <v>108</v>
      </c>
      <c r="CJ9" s="118">
        <f t="shared" si="20"/>
        <v>116</v>
      </c>
      <c r="CK9" s="118">
        <f t="shared" si="21"/>
        <v>142</v>
      </c>
      <c r="CL9" s="118">
        <f t="shared" si="22"/>
        <v>168</v>
      </c>
      <c r="CM9" s="118">
        <f t="shared" si="23"/>
        <v>213</v>
      </c>
      <c r="CN9" s="118">
        <f t="shared" si="24"/>
        <v>259</v>
      </c>
      <c r="CO9" s="118">
        <f t="shared" si="25"/>
        <v>291</v>
      </c>
      <c r="CP9" s="118">
        <f t="shared" si="26"/>
        <v>314</v>
      </c>
      <c r="CQ9" s="57">
        <f t="shared" si="27"/>
        <v>1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</row>
    <row r="10" spans="1:1026" x14ac:dyDescent="0.2">
      <c r="A10" s="3" t="str">
        <f t="shared" si="0"/>
        <v>aa2ar_human_4UHR</v>
      </c>
      <c r="B10" s="3" t="s">
        <v>332</v>
      </c>
      <c r="C10" s="3" t="s">
        <v>1260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34</v>
      </c>
      <c r="H10" s="3" t="str">
        <f>IFERROR(MID(VLOOKUP($B10,Seqs!$A:$B,2,0),I10,1),"")</f>
        <v>S</v>
      </c>
      <c r="I10" s="57">
        <v>35</v>
      </c>
      <c r="J10" s="3" t="str">
        <f>IFERROR(MID(VLOOKUP($B10,Seqs!$A:$B,2,0),K10,1),"")</f>
        <v>Q</v>
      </c>
      <c r="K10" s="57">
        <v>38</v>
      </c>
      <c r="L10" s="3" t="str">
        <f>IFERROR(MID(VLOOKUP($B10,Seqs!$A:$B,2,0),M10,1),"")</f>
        <v>N</v>
      </c>
      <c r="M10" s="3">
        <v>39</v>
      </c>
      <c r="N10" s="3" t="str">
        <f>IFERROR(MID(VLOOKUP($B10,Seqs!$A:$B,2,0),O10,1),"")</f>
        <v>G</v>
      </c>
      <c r="O10" s="3">
        <v>69</v>
      </c>
      <c r="P10" s="3" t="str">
        <f>IFERROR(MID(VLOOKUP($B10,Seqs!$A:$B,2,0),Q10,1),"")</f>
        <v>F</v>
      </c>
      <c r="Q10" s="3">
        <v>70</v>
      </c>
      <c r="R10" s="3" t="str">
        <f>IFERROR(MID(VLOOKUP($B10,Seqs!$A:$B,2,0),S10,1),"")</f>
        <v>A</v>
      </c>
      <c r="S10" s="3">
        <v>72</v>
      </c>
      <c r="T10" s="3" t="str">
        <f>IFERROR(MID(VLOOKUP($B10,Seqs!$A:$B,2,0),U10,1),"")</f>
        <v>A</v>
      </c>
      <c r="U10" s="3">
        <v>73</v>
      </c>
      <c r="V10" s="3" t="str">
        <f>IFERROR(MID(VLOOKUP($B10,Seqs!$A:$B,2,0),W10,1),"")</f>
        <v>I</v>
      </c>
      <c r="W10" s="3">
        <v>108</v>
      </c>
      <c r="X10" s="3" t="str">
        <f>IFERROR(MID(VLOOKUP($B10,Seqs!$A:$B,2,0),Y10,1),"")</f>
        <v>P</v>
      </c>
      <c r="Y10" s="3">
        <v>109</v>
      </c>
      <c r="Z10" s="3" t="str">
        <f>IFERROR(MID(VLOOKUP($B10,Seqs!$A:$B,2,0),AA10,1),"")</f>
        <v>V</v>
      </c>
      <c r="AA10" s="3">
        <v>116</v>
      </c>
      <c r="AB10" s="3" t="str">
        <f>IFERROR(MID(VLOOKUP($B10,Seqs!$A:$B,2,0),AC10,1),"")</f>
        <v>G</v>
      </c>
      <c r="AC10" s="3">
        <v>118</v>
      </c>
      <c r="AD10" s="3" t="str">
        <f>IFERROR(MID(VLOOKUP($B10,Seqs!$A:$B,2,0),AE10,1),"")</f>
        <v>G</v>
      </c>
      <c r="AE10" s="3">
        <v>142</v>
      </c>
      <c r="AF10" s="3" t="str">
        <f>IFERROR(MID(VLOOKUP($B10,Seqs!$A:$B,2,0),AG10,1),"")</f>
        <v>C</v>
      </c>
      <c r="AG10" s="3">
        <v>166</v>
      </c>
      <c r="AH10" s="3" t="str">
        <f>IFERROR(MID(VLOOKUP($B10,Seqs!$A:$B,2,0),AI10,1),"")</f>
        <v>F</v>
      </c>
      <c r="AI10" s="3">
        <v>168</v>
      </c>
      <c r="AJ10" s="3" t="str">
        <f>IFERROR(MID(VLOOKUP($B10,Seqs!$A:$B,2,0),AK10,1),"")</f>
        <v>P</v>
      </c>
      <c r="AK10" s="3">
        <v>173</v>
      </c>
      <c r="AL10" s="3" t="str">
        <f>IFERROR(MID(VLOOKUP($B10,Seqs!$A:$B,2,0),AM10,1),"")</f>
        <v>S</v>
      </c>
      <c r="AM10" s="3">
        <v>213</v>
      </c>
      <c r="AN10" s="3" t="str">
        <f>IFERROR(MID(VLOOKUP($B10,Seqs!$A:$B,2,0),AO10,1),"")</f>
        <v>E</v>
      </c>
      <c r="AO10" s="3">
        <v>219</v>
      </c>
      <c r="AP10" s="3" t="str">
        <f>IFERROR(MID(VLOOKUP($B10,Seqs!$A:$B,2,0),AQ10,1),"")</f>
        <v>C</v>
      </c>
      <c r="AQ10" s="3">
        <v>259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Q</v>
      </c>
      <c r="AY10" s="3">
        <v>311</v>
      </c>
      <c r="BA10" s="124" t="str">
        <f>VLOOKUP(B10,Classification!A:D,2,0)</f>
        <v>A</v>
      </c>
      <c r="BC10" s="1"/>
      <c r="BD10" s="2" t="s">
        <v>1314</v>
      </c>
      <c r="BE10" s="57">
        <f t="shared" si="1"/>
        <v>267</v>
      </c>
      <c r="BF10" s="63" t="b">
        <f t="shared" si="2"/>
        <v>1</v>
      </c>
      <c r="BG10" s="116" t="s">
        <v>1513</v>
      </c>
      <c r="BH10" s="102" t="s">
        <v>1513</v>
      </c>
      <c r="BI10" s="102" t="s">
        <v>1513</v>
      </c>
      <c r="BJ10" s="102" t="s">
        <v>1513</v>
      </c>
      <c r="BK10" s="102" t="s">
        <v>1513</v>
      </c>
      <c r="BL10" s="102" t="s">
        <v>1513</v>
      </c>
      <c r="BM10" s="102" t="s">
        <v>1513</v>
      </c>
      <c r="BN10" s="102" t="s">
        <v>1513</v>
      </c>
      <c r="BO10" s="102" t="s">
        <v>1513</v>
      </c>
      <c r="BP10" s="102" t="s">
        <v>1513</v>
      </c>
      <c r="BQ10" s="102" t="s">
        <v>1513</v>
      </c>
      <c r="BR10" s="102" t="s">
        <v>1513</v>
      </c>
      <c r="BS10" s="116">
        <f t="shared" si="3"/>
        <v>6</v>
      </c>
      <c r="BT10" s="117">
        <f t="shared" si="4"/>
        <v>35</v>
      </c>
      <c r="BU10" s="118">
        <f t="shared" si="5"/>
        <v>39</v>
      </c>
      <c r="BV10" s="117">
        <f t="shared" si="6"/>
        <v>70</v>
      </c>
      <c r="BW10" s="118">
        <f t="shared" si="7"/>
        <v>73</v>
      </c>
      <c r="BX10" s="117">
        <f t="shared" si="8"/>
        <v>109</v>
      </c>
      <c r="BY10" s="118">
        <f t="shared" si="9"/>
        <v>118</v>
      </c>
      <c r="BZ10" s="117">
        <f t="shared" si="10"/>
        <v>166</v>
      </c>
      <c r="CA10" s="118">
        <f t="shared" si="11"/>
        <v>173</v>
      </c>
      <c r="CB10" s="117">
        <f t="shared" si="12"/>
        <v>219</v>
      </c>
      <c r="CC10" s="118">
        <f t="shared" si="13"/>
        <v>266</v>
      </c>
      <c r="CD10" s="117">
        <f t="shared" si="14"/>
        <v>292</v>
      </c>
      <c r="CE10" s="116">
        <f t="shared" si="15"/>
        <v>34</v>
      </c>
      <c r="CF10" s="117">
        <f t="shared" si="16"/>
        <v>38</v>
      </c>
      <c r="CG10" s="118">
        <f t="shared" si="17"/>
        <v>69</v>
      </c>
      <c r="CH10" s="118">
        <f t="shared" si="18"/>
        <v>72</v>
      </c>
      <c r="CI10" s="118">
        <f t="shared" si="19"/>
        <v>108</v>
      </c>
      <c r="CJ10" s="118">
        <f t="shared" si="20"/>
        <v>116</v>
      </c>
      <c r="CK10" s="118">
        <f t="shared" si="21"/>
        <v>142</v>
      </c>
      <c r="CL10" s="118">
        <f t="shared" si="22"/>
        <v>168</v>
      </c>
      <c r="CM10" s="118">
        <f t="shared" si="23"/>
        <v>213</v>
      </c>
      <c r="CN10" s="118">
        <f t="shared" si="24"/>
        <v>259</v>
      </c>
      <c r="CO10" s="118">
        <f t="shared" si="25"/>
        <v>291</v>
      </c>
      <c r="CP10" s="118">
        <f t="shared" si="26"/>
        <v>311</v>
      </c>
      <c r="CQ10" s="57">
        <f t="shared" si="27"/>
        <v>1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</row>
    <row r="11" spans="1:1026" x14ac:dyDescent="0.2">
      <c r="A11" s="3" t="str">
        <f t="shared" si="0"/>
        <v>aa2ar_human_5IU4</v>
      </c>
      <c r="B11" s="3" t="s">
        <v>332</v>
      </c>
      <c r="C11" s="3" t="s">
        <v>1579</v>
      </c>
      <c r="D11" s="3" t="str">
        <f>IFERROR(MID(VLOOKUP($B11,Seqs!$A:$B,2,0),E11,1),"")</f>
        <v>P</v>
      </c>
      <c r="E11" s="3">
        <v>2</v>
      </c>
      <c r="F11" s="3" t="str">
        <f>IFERROR(MID(VLOOKUP($B11,Seqs!$A:$B,2,0),G11,1),"")</f>
        <v>N</v>
      </c>
      <c r="G11" s="3">
        <v>34</v>
      </c>
      <c r="H11" s="3" t="str">
        <f>IFERROR(MID(VLOOKUP($B11,Seqs!$A:$B,2,0),I11,1),"")</f>
        <v>S</v>
      </c>
      <c r="I11" s="57">
        <v>35</v>
      </c>
      <c r="J11" s="3" t="str">
        <f>IFERROR(MID(VLOOKUP($B11,Seqs!$A:$B,2,0),K11,1),"")</f>
        <v>Q</v>
      </c>
      <c r="K11" s="57">
        <v>38</v>
      </c>
      <c r="L11" s="3" t="str">
        <f>IFERROR(MID(VLOOKUP($B11,Seqs!$A:$B,2,0),M11,1),"")</f>
        <v>N</v>
      </c>
      <c r="M11" s="3">
        <v>39</v>
      </c>
      <c r="N11" s="3" t="str">
        <f>IFERROR(MID(VLOOKUP($B11,Seqs!$A:$B,2,0),O11,1),"")</f>
        <v>G</v>
      </c>
      <c r="O11" s="3">
        <v>69</v>
      </c>
      <c r="P11" s="3" t="str">
        <f>IFERROR(MID(VLOOKUP($B11,Seqs!$A:$B,2,0),Q11,1),"")</f>
        <v>F</v>
      </c>
      <c r="Q11" s="3">
        <v>70</v>
      </c>
      <c r="R11" s="3" t="str">
        <f>IFERROR(MID(VLOOKUP($B11,Seqs!$A:$B,2,0),S11,1),"")</f>
        <v>A</v>
      </c>
      <c r="S11" s="3">
        <v>72</v>
      </c>
      <c r="T11" s="3" t="str">
        <f>IFERROR(MID(VLOOKUP($B11,Seqs!$A:$B,2,0),U11,1),"")</f>
        <v>A</v>
      </c>
      <c r="U11" s="3">
        <v>73</v>
      </c>
      <c r="V11" s="3" t="str">
        <f>IFERROR(MID(VLOOKUP($B11,Seqs!$A:$B,2,0),W11,1),"")</f>
        <v>I</v>
      </c>
      <c r="W11" s="3">
        <v>108</v>
      </c>
      <c r="X11" s="3" t="str">
        <f>IFERROR(MID(VLOOKUP($B11,Seqs!$A:$B,2,0),Y11,1),"")</f>
        <v>P</v>
      </c>
      <c r="Y11" s="3">
        <v>109</v>
      </c>
      <c r="Z11" s="3" t="str">
        <f>IFERROR(MID(VLOOKUP($B11,Seqs!$A:$B,2,0),AA11,1),"")</f>
        <v>V</v>
      </c>
      <c r="AA11" s="3">
        <v>116</v>
      </c>
      <c r="AB11" s="3" t="str">
        <f>IFERROR(MID(VLOOKUP($B11,Seqs!$A:$B,2,0),AC11,1),"")</f>
        <v>G</v>
      </c>
      <c r="AC11" s="3">
        <v>118</v>
      </c>
      <c r="AD11" s="3" t="str">
        <f>IFERROR(MID(VLOOKUP($B11,Seqs!$A:$B,2,0),AE11,1),"")</f>
        <v>G</v>
      </c>
      <c r="AE11" s="3">
        <v>142</v>
      </c>
      <c r="AF11" s="3" t="str">
        <f>IFERROR(MID(VLOOKUP($B11,Seqs!$A:$B,2,0),AG11,1),"")</f>
        <v>C</v>
      </c>
      <c r="AG11" s="3">
        <v>166</v>
      </c>
      <c r="AH11" s="3" t="str">
        <f>IFERROR(MID(VLOOKUP($B11,Seqs!$A:$B,2,0),AI11,1),"")</f>
        <v>F</v>
      </c>
      <c r="AI11" s="3">
        <v>168</v>
      </c>
      <c r="AJ11" s="3" t="str">
        <f>IFERROR(MID(VLOOKUP($B11,Seqs!$A:$B,2,0),AK11,1),"")</f>
        <v>P</v>
      </c>
      <c r="AK11" s="3">
        <v>173</v>
      </c>
      <c r="AL11" s="3" t="str">
        <f>IFERROR(MID(VLOOKUP($B11,Seqs!$A:$B,2,0),AM11,1),"")</f>
        <v>L</v>
      </c>
      <c r="AM11" s="127">
        <v>208</v>
      </c>
      <c r="AN11" s="3" t="str">
        <f>IFERROR(MID(VLOOKUP($B11,Seqs!$A:$B,2,0),AO11,1),"")</f>
        <v>E</v>
      </c>
      <c r="AO11" s="3">
        <v>219</v>
      </c>
      <c r="AP11" s="3" t="str">
        <f>IFERROR(MID(VLOOKUP($B11,Seqs!$A:$B,2,0),AQ11,1),"")</f>
        <v>C</v>
      </c>
      <c r="AQ11" s="3">
        <v>259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S</v>
      </c>
      <c r="AY11" s="3">
        <v>305</v>
      </c>
      <c r="BA11" s="124" t="str">
        <f>VLOOKUP(B11,Classification!A:D,2,0)</f>
        <v>A</v>
      </c>
      <c r="BB11" s="90" t="s">
        <v>1596</v>
      </c>
      <c r="BC11" s="1"/>
      <c r="BD11" s="4"/>
      <c r="BE11" s="57">
        <f t="shared" si="1"/>
        <v>260</v>
      </c>
      <c r="BF11" s="63" t="b">
        <f t="shared" si="2"/>
        <v>1</v>
      </c>
      <c r="BG11" s="116" t="s">
        <v>1513</v>
      </c>
      <c r="BH11" s="102" t="s">
        <v>1513</v>
      </c>
      <c r="BI11" s="102" t="s">
        <v>1513</v>
      </c>
      <c r="BJ11" s="102" t="s">
        <v>1513</v>
      </c>
      <c r="BK11" s="102" t="s">
        <v>1513</v>
      </c>
      <c r="BL11" s="102" t="s">
        <v>1513</v>
      </c>
      <c r="BM11" s="102" t="s">
        <v>1513</v>
      </c>
      <c r="BN11" s="102" t="s">
        <v>1513</v>
      </c>
      <c r="BO11" s="102" t="s">
        <v>1513</v>
      </c>
      <c r="BP11" s="102" t="s">
        <v>1513</v>
      </c>
      <c r="BQ11" s="102" t="s">
        <v>1513</v>
      </c>
      <c r="BR11" s="102" t="s">
        <v>1513</v>
      </c>
      <c r="BS11" s="116">
        <f t="shared" si="3"/>
        <v>2</v>
      </c>
      <c r="BT11" s="117">
        <f t="shared" si="4"/>
        <v>35</v>
      </c>
      <c r="BU11" s="118">
        <f t="shared" si="5"/>
        <v>39</v>
      </c>
      <c r="BV11" s="117">
        <f t="shared" si="6"/>
        <v>70</v>
      </c>
      <c r="BW11" s="118">
        <f t="shared" si="7"/>
        <v>73</v>
      </c>
      <c r="BX11" s="117">
        <f t="shared" si="8"/>
        <v>109</v>
      </c>
      <c r="BY11" s="118">
        <f t="shared" si="9"/>
        <v>118</v>
      </c>
      <c r="BZ11" s="117">
        <f t="shared" si="10"/>
        <v>166</v>
      </c>
      <c r="CA11" s="118">
        <f t="shared" si="11"/>
        <v>173</v>
      </c>
      <c r="CB11" s="117">
        <f t="shared" si="12"/>
        <v>219</v>
      </c>
      <c r="CC11" s="118">
        <f t="shared" si="13"/>
        <v>266</v>
      </c>
      <c r="CD11" s="117">
        <f t="shared" si="14"/>
        <v>292</v>
      </c>
      <c r="CE11" s="116">
        <f t="shared" si="15"/>
        <v>34</v>
      </c>
      <c r="CF11" s="117">
        <f t="shared" si="16"/>
        <v>38</v>
      </c>
      <c r="CG11" s="118">
        <f t="shared" si="17"/>
        <v>69</v>
      </c>
      <c r="CH11" s="118">
        <f t="shared" si="18"/>
        <v>72</v>
      </c>
      <c r="CI11" s="118">
        <f t="shared" si="19"/>
        <v>108</v>
      </c>
      <c r="CJ11" s="118">
        <f t="shared" si="20"/>
        <v>116</v>
      </c>
      <c r="CK11" s="118">
        <f t="shared" si="21"/>
        <v>142</v>
      </c>
      <c r="CL11" s="118">
        <f t="shared" si="22"/>
        <v>168</v>
      </c>
      <c r="CM11" s="118">
        <f t="shared" si="23"/>
        <v>208</v>
      </c>
      <c r="CN11" s="118">
        <f t="shared" si="24"/>
        <v>259</v>
      </c>
      <c r="CO11" s="118">
        <f t="shared" si="25"/>
        <v>291</v>
      </c>
      <c r="CP11" s="118">
        <f t="shared" si="26"/>
        <v>305</v>
      </c>
      <c r="CQ11" s="57">
        <f t="shared" si="27"/>
        <v>1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</row>
    <row r="12" spans="1:1026" x14ac:dyDescent="0.2">
      <c r="A12" s="3" t="str">
        <f t="shared" si="0"/>
        <v>aa2ar_human_5IU7</v>
      </c>
      <c r="B12" s="3" t="s">
        <v>332</v>
      </c>
      <c r="C12" s="3" t="s">
        <v>1580</v>
      </c>
      <c r="D12" s="3" t="str">
        <f>IFERROR(MID(VLOOKUP($B12,Seqs!$A:$B,2,0),E12,1),"")</f>
        <v>P</v>
      </c>
      <c r="E12" s="3">
        <v>2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57">
        <v>35</v>
      </c>
      <c r="J12" s="3" t="str">
        <f>IFERROR(MID(VLOOKUP($B12,Seqs!$A:$B,2,0),K12,1),"")</f>
        <v>Q</v>
      </c>
      <c r="K12" s="57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G</v>
      </c>
      <c r="AC12" s="3">
        <v>118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L</v>
      </c>
      <c r="AM12" s="127">
        <v>208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V</v>
      </c>
      <c r="AY12" s="3">
        <v>307</v>
      </c>
      <c r="BA12" s="124" t="str">
        <f>VLOOKUP(B12,Classification!A:D,2,0)</f>
        <v>A</v>
      </c>
      <c r="BB12" s="90" t="s">
        <v>1596</v>
      </c>
      <c r="BC12" s="1"/>
      <c r="BD12" s="4"/>
      <c r="BE12" s="57">
        <f t="shared" si="1"/>
        <v>262</v>
      </c>
      <c r="BF12" s="63" t="b">
        <f t="shared" si="2"/>
        <v>1</v>
      </c>
      <c r="BG12" s="116" t="s">
        <v>1513</v>
      </c>
      <c r="BH12" s="102" t="s">
        <v>1513</v>
      </c>
      <c r="BI12" s="102" t="s">
        <v>1513</v>
      </c>
      <c r="BJ12" s="102" t="s">
        <v>1513</v>
      </c>
      <c r="BK12" s="102" t="s">
        <v>1513</v>
      </c>
      <c r="BL12" s="102" t="s">
        <v>1513</v>
      </c>
      <c r="BM12" s="102" t="s">
        <v>1513</v>
      </c>
      <c r="BN12" s="102" t="s">
        <v>1513</v>
      </c>
      <c r="BO12" s="102" t="s">
        <v>1513</v>
      </c>
      <c r="BP12" s="102" t="s">
        <v>1513</v>
      </c>
      <c r="BQ12" s="102" t="s">
        <v>1513</v>
      </c>
      <c r="BR12" s="102" t="s">
        <v>1513</v>
      </c>
      <c r="BS12" s="116">
        <f t="shared" si="3"/>
        <v>2</v>
      </c>
      <c r="BT12" s="117">
        <f t="shared" si="4"/>
        <v>35</v>
      </c>
      <c r="BU12" s="118">
        <f t="shared" si="5"/>
        <v>39</v>
      </c>
      <c r="BV12" s="117">
        <f t="shared" si="6"/>
        <v>70</v>
      </c>
      <c r="BW12" s="118">
        <f t="shared" si="7"/>
        <v>73</v>
      </c>
      <c r="BX12" s="117">
        <f t="shared" si="8"/>
        <v>109</v>
      </c>
      <c r="BY12" s="118">
        <f t="shared" si="9"/>
        <v>118</v>
      </c>
      <c r="BZ12" s="117">
        <f t="shared" si="10"/>
        <v>166</v>
      </c>
      <c r="CA12" s="118">
        <f t="shared" si="11"/>
        <v>173</v>
      </c>
      <c r="CB12" s="117">
        <f t="shared" si="12"/>
        <v>219</v>
      </c>
      <c r="CC12" s="118">
        <f t="shared" si="13"/>
        <v>266</v>
      </c>
      <c r="CD12" s="117">
        <f t="shared" si="14"/>
        <v>292</v>
      </c>
      <c r="CE12" s="116">
        <f t="shared" si="15"/>
        <v>34</v>
      </c>
      <c r="CF12" s="117">
        <f t="shared" si="16"/>
        <v>38</v>
      </c>
      <c r="CG12" s="118">
        <f t="shared" si="17"/>
        <v>69</v>
      </c>
      <c r="CH12" s="118">
        <f t="shared" si="18"/>
        <v>72</v>
      </c>
      <c r="CI12" s="118">
        <f t="shared" si="19"/>
        <v>108</v>
      </c>
      <c r="CJ12" s="118">
        <f t="shared" si="20"/>
        <v>116</v>
      </c>
      <c r="CK12" s="118">
        <f t="shared" si="21"/>
        <v>142</v>
      </c>
      <c r="CL12" s="118">
        <f t="shared" si="22"/>
        <v>168</v>
      </c>
      <c r="CM12" s="118">
        <f t="shared" si="23"/>
        <v>208</v>
      </c>
      <c r="CN12" s="118">
        <f t="shared" si="24"/>
        <v>259</v>
      </c>
      <c r="CO12" s="118">
        <f t="shared" si="25"/>
        <v>291</v>
      </c>
      <c r="CP12" s="118">
        <f t="shared" si="26"/>
        <v>307</v>
      </c>
      <c r="CQ12" s="57">
        <f t="shared" si="27"/>
        <v>1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</row>
    <row r="13" spans="1:1026" x14ac:dyDescent="0.2">
      <c r="A13" s="3" t="str">
        <f t="shared" si="0"/>
        <v>aa2ar_human_5IU8</v>
      </c>
      <c r="B13" s="3" t="s">
        <v>332</v>
      </c>
      <c r="C13" s="3" t="s">
        <v>1581</v>
      </c>
      <c r="D13" s="3" t="str">
        <f>IFERROR(MID(VLOOKUP($B13,Seqs!$A:$B,2,0),E13,1),"")</f>
        <v>P</v>
      </c>
      <c r="E13" s="3">
        <v>2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57">
        <v>35</v>
      </c>
      <c r="J13" s="3" t="str">
        <f>IFERROR(MID(VLOOKUP($B13,Seqs!$A:$B,2,0),K13,1),"")</f>
        <v>Q</v>
      </c>
      <c r="K13" s="57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G</v>
      </c>
      <c r="AC13" s="3">
        <v>118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L</v>
      </c>
      <c r="AM13" s="127">
        <v>208</v>
      </c>
      <c r="AN13" s="3" t="str">
        <f>IFERROR(MID(VLOOKUP($B13,Seqs!$A:$B,2,0),AO13,1),"")</f>
        <v>E</v>
      </c>
      <c r="AO13" s="3">
        <v>219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S</v>
      </c>
      <c r="AY13" s="3">
        <v>305</v>
      </c>
      <c r="BA13" s="124" t="str">
        <f>VLOOKUP(B13,Classification!A:D,2,0)</f>
        <v>A</v>
      </c>
      <c r="BB13" s="90" t="s">
        <v>1596</v>
      </c>
      <c r="BC13" s="1"/>
      <c r="BD13" s="1"/>
      <c r="BE13" s="57">
        <f t="shared" si="1"/>
        <v>260</v>
      </c>
      <c r="BF13" s="63" t="b">
        <f t="shared" si="2"/>
        <v>1</v>
      </c>
      <c r="BG13" s="116" t="s">
        <v>1513</v>
      </c>
      <c r="BH13" s="102" t="s">
        <v>1513</v>
      </c>
      <c r="BI13" s="102" t="s">
        <v>1513</v>
      </c>
      <c r="BJ13" s="102" t="s">
        <v>1513</v>
      </c>
      <c r="BK13" s="102" t="s">
        <v>1513</v>
      </c>
      <c r="BL13" s="102" t="s">
        <v>1513</v>
      </c>
      <c r="BM13" s="102" t="s">
        <v>1513</v>
      </c>
      <c r="BN13" s="102" t="s">
        <v>1513</v>
      </c>
      <c r="BO13" s="102" t="s">
        <v>1513</v>
      </c>
      <c r="BP13" s="102" t="s">
        <v>1513</v>
      </c>
      <c r="BQ13" s="102" t="s">
        <v>1513</v>
      </c>
      <c r="BR13" s="102" t="s">
        <v>1513</v>
      </c>
      <c r="BS13" s="116">
        <f t="shared" si="3"/>
        <v>2</v>
      </c>
      <c r="BT13" s="117">
        <f t="shared" si="4"/>
        <v>35</v>
      </c>
      <c r="BU13" s="118">
        <f t="shared" si="5"/>
        <v>39</v>
      </c>
      <c r="BV13" s="117">
        <f t="shared" si="6"/>
        <v>70</v>
      </c>
      <c r="BW13" s="118">
        <f t="shared" si="7"/>
        <v>73</v>
      </c>
      <c r="BX13" s="117">
        <f t="shared" si="8"/>
        <v>109</v>
      </c>
      <c r="BY13" s="118">
        <f t="shared" si="9"/>
        <v>118</v>
      </c>
      <c r="BZ13" s="117">
        <f t="shared" si="10"/>
        <v>166</v>
      </c>
      <c r="CA13" s="118">
        <f t="shared" si="11"/>
        <v>173</v>
      </c>
      <c r="CB13" s="117">
        <f t="shared" si="12"/>
        <v>219</v>
      </c>
      <c r="CC13" s="118">
        <f t="shared" si="13"/>
        <v>266</v>
      </c>
      <c r="CD13" s="117">
        <f t="shared" si="14"/>
        <v>292</v>
      </c>
      <c r="CE13" s="116">
        <f t="shared" si="15"/>
        <v>34</v>
      </c>
      <c r="CF13" s="117">
        <f t="shared" si="16"/>
        <v>38</v>
      </c>
      <c r="CG13" s="118">
        <f t="shared" si="17"/>
        <v>69</v>
      </c>
      <c r="CH13" s="118">
        <f t="shared" si="18"/>
        <v>72</v>
      </c>
      <c r="CI13" s="118">
        <f t="shared" si="19"/>
        <v>108</v>
      </c>
      <c r="CJ13" s="118">
        <f t="shared" si="20"/>
        <v>116</v>
      </c>
      <c r="CK13" s="118">
        <f t="shared" si="21"/>
        <v>142</v>
      </c>
      <c r="CL13" s="118">
        <f t="shared" si="22"/>
        <v>168</v>
      </c>
      <c r="CM13" s="118">
        <f t="shared" si="23"/>
        <v>208</v>
      </c>
      <c r="CN13" s="118">
        <f t="shared" si="24"/>
        <v>259</v>
      </c>
      <c r="CO13" s="118">
        <f t="shared" si="25"/>
        <v>291</v>
      </c>
      <c r="CP13" s="118">
        <f t="shared" si="26"/>
        <v>305</v>
      </c>
      <c r="CQ13" s="57">
        <f t="shared" si="27"/>
        <v>1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</row>
    <row r="14" spans="1:1026" x14ac:dyDescent="0.2">
      <c r="A14" s="3" t="str">
        <f t="shared" si="0"/>
        <v>aa2ar_human_5IUA</v>
      </c>
      <c r="B14" s="3" t="s">
        <v>332</v>
      </c>
      <c r="C14" s="3" t="s">
        <v>1582</v>
      </c>
      <c r="D14" s="3" t="str">
        <f>IFERROR(MID(VLOOKUP($B14,Seqs!$A:$B,2,0),E14,1),"")</f>
        <v>P</v>
      </c>
      <c r="E14" s="3">
        <v>2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57">
        <v>35</v>
      </c>
      <c r="J14" s="3" t="str">
        <f>IFERROR(MID(VLOOKUP($B14,Seqs!$A:$B,2,0),K14,1),"")</f>
        <v>Q</v>
      </c>
      <c r="K14" s="57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G</v>
      </c>
      <c r="AC14" s="3">
        <v>118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L</v>
      </c>
      <c r="AM14" s="127">
        <v>208</v>
      </c>
      <c r="AN14" s="3" t="str">
        <f>IFERROR(MID(VLOOKUP($B14,Seqs!$A:$B,2,0),AO14,1),"")</f>
        <v>E</v>
      </c>
      <c r="AO14" s="3">
        <v>219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H</v>
      </c>
      <c r="AY14" s="3">
        <v>306</v>
      </c>
      <c r="BA14" s="124" t="str">
        <f>VLOOKUP(B14,Classification!A:D,2,0)</f>
        <v>A</v>
      </c>
      <c r="BB14" s="90" t="s">
        <v>1596</v>
      </c>
      <c r="BC14" s="1"/>
      <c r="BD14" s="4"/>
      <c r="BE14" s="57">
        <f t="shared" si="1"/>
        <v>261</v>
      </c>
      <c r="BF14" s="63" t="b">
        <f t="shared" si="2"/>
        <v>1</v>
      </c>
      <c r="BG14" s="116" t="s">
        <v>1513</v>
      </c>
      <c r="BH14" s="102" t="s">
        <v>1513</v>
      </c>
      <c r="BI14" s="102" t="s">
        <v>1513</v>
      </c>
      <c r="BJ14" s="102" t="s">
        <v>1513</v>
      </c>
      <c r="BK14" s="102" t="s">
        <v>1513</v>
      </c>
      <c r="BL14" s="102" t="s">
        <v>1513</v>
      </c>
      <c r="BM14" s="102" t="s">
        <v>1513</v>
      </c>
      <c r="BN14" s="102" t="s">
        <v>1513</v>
      </c>
      <c r="BO14" s="102" t="s">
        <v>1513</v>
      </c>
      <c r="BP14" s="102" t="s">
        <v>1513</v>
      </c>
      <c r="BQ14" s="102" t="s">
        <v>1513</v>
      </c>
      <c r="BR14" s="102" t="s">
        <v>1513</v>
      </c>
      <c r="BS14" s="116">
        <f t="shared" si="3"/>
        <v>2</v>
      </c>
      <c r="BT14" s="117">
        <f t="shared" si="4"/>
        <v>35</v>
      </c>
      <c r="BU14" s="118">
        <f t="shared" si="5"/>
        <v>39</v>
      </c>
      <c r="BV14" s="117">
        <f t="shared" si="6"/>
        <v>70</v>
      </c>
      <c r="BW14" s="118">
        <f t="shared" si="7"/>
        <v>73</v>
      </c>
      <c r="BX14" s="117">
        <f t="shared" si="8"/>
        <v>109</v>
      </c>
      <c r="BY14" s="118">
        <f t="shared" si="9"/>
        <v>118</v>
      </c>
      <c r="BZ14" s="117">
        <f t="shared" si="10"/>
        <v>166</v>
      </c>
      <c r="CA14" s="118">
        <f t="shared" si="11"/>
        <v>173</v>
      </c>
      <c r="CB14" s="117">
        <f t="shared" si="12"/>
        <v>219</v>
      </c>
      <c r="CC14" s="118">
        <f t="shared" si="13"/>
        <v>266</v>
      </c>
      <c r="CD14" s="117">
        <f t="shared" si="14"/>
        <v>292</v>
      </c>
      <c r="CE14" s="116">
        <f t="shared" si="15"/>
        <v>34</v>
      </c>
      <c r="CF14" s="117">
        <f t="shared" si="16"/>
        <v>38</v>
      </c>
      <c r="CG14" s="118">
        <f t="shared" si="17"/>
        <v>69</v>
      </c>
      <c r="CH14" s="118">
        <f t="shared" si="18"/>
        <v>72</v>
      </c>
      <c r="CI14" s="118">
        <f t="shared" si="19"/>
        <v>108</v>
      </c>
      <c r="CJ14" s="118">
        <f t="shared" si="20"/>
        <v>116</v>
      </c>
      <c r="CK14" s="118">
        <f t="shared" si="21"/>
        <v>142</v>
      </c>
      <c r="CL14" s="118">
        <f t="shared" si="22"/>
        <v>168</v>
      </c>
      <c r="CM14" s="118">
        <f t="shared" si="23"/>
        <v>208</v>
      </c>
      <c r="CN14" s="118">
        <f t="shared" si="24"/>
        <v>259</v>
      </c>
      <c r="CO14" s="118">
        <f t="shared" si="25"/>
        <v>291</v>
      </c>
      <c r="CP14" s="118">
        <f t="shared" si="26"/>
        <v>306</v>
      </c>
      <c r="CQ14" s="57">
        <f t="shared" si="27"/>
        <v>1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</row>
    <row r="15" spans="1:1026" x14ac:dyDescent="0.2">
      <c r="A15" s="3" t="str">
        <f t="shared" si="0"/>
        <v>aa2ar_human_5IUB</v>
      </c>
      <c r="B15" s="3" t="s">
        <v>332</v>
      </c>
      <c r="C15" s="3" t="s">
        <v>1583</v>
      </c>
      <c r="D15" s="3" t="str">
        <f>IFERROR(MID(VLOOKUP($B15,Seqs!$A:$B,2,0),E15,1),"")</f>
        <v>P</v>
      </c>
      <c r="E15" s="3">
        <v>2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57">
        <v>35</v>
      </c>
      <c r="J15" s="3" t="str">
        <f>IFERROR(MID(VLOOKUP($B15,Seqs!$A:$B,2,0),K15,1),"")</f>
        <v>Q</v>
      </c>
      <c r="K15" s="57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G</v>
      </c>
      <c r="AC15" s="3">
        <v>118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L</v>
      </c>
      <c r="AM15" s="127">
        <v>208</v>
      </c>
      <c r="AN15" s="3" t="str">
        <f>IFERROR(MID(VLOOKUP($B15,Seqs!$A:$B,2,0),AO15,1),"")</f>
        <v>E</v>
      </c>
      <c r="AO15" s="3">
        <v>219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S</v>
      </c>
      <c r="AY15" s="3">
        <v>305</v>
      </c>
      <c r="BA15" s="124" t="str">
        <f>VLOOKUP(B15,Classification!A:D,2,0)</f>
        <v>A</v>
      </c>
      <c r="BB15" s="90" t="s">
        <v>1596</v>
      </c>
      <c r="BC15" s="1"/>
      <c r="BD15" s="4"/>
      <c r="BE15" s="57">
        <f t="shared" si="1"/>
        <v>260</v>
      </c>
      <c r="BF15" s="63" t="b">
        <f t="shared" si="2"/>
        <v>1</v>
      </c>
      <c r="BG15" s="116" t="s">
        <v>1513</v>
      </c>
      <c r="BH15" s="102" t="s">
        <v>1513</v>
      </c>
      <c r="BI15" s="102" t="s">
        <v>1513</v>
      </c>
      <c r="BJ15" s="102" t="s">
        <v>1513</v>
      </c>
      <c r="BK15" s="102" t="s">
        <v>1513</v>
      </c>
      <c r="BL15" s="102" t="s">
        <v>1513</v>
      </c>
      <c r="BM15" s="102" t="s">
        <v>1513</v>
      </c>
      <c r="BN15" s="102" t="s">
        <v>1513</v>
      </c>
      <c r="BO15" s="102" t="s">
        <v>1513</v>
      </c>
      <c r="BP15" s="102" t="s">
        <v>1513</v>
      </c>
      <c r="BQ15" s="102" t="s">
        <v>1513</v>
      </c>
      <c r="BR15" s="102" t="s">
        <v>1513</v>
      </c>
      <c r="BS15" s="116">
        <f t="shared" si="3"/>
        <v>2</v>
      </c>
      <c r="BT15" s="117">
        <f t="shared" si="4"/>
        <v>35</v>
      </c>
      <c r="BU15" s="118">
        <f t="shared" si="5"/>
        <v>39</v>
      </c>
      <c r="BV15" s="117">
        <f t="shared" si="6"/>
        <v>70</v>
      </c>
      <c r="BW15" s="118">
        <f t="shared" si="7"/>
        <v>73</v>
      </c>
      <c r="BX15" s="117">
        <f t="shared" si="8"/>
        <v>109</v>
      </c>
      <c r="BY15" s="118">
        <f t="shared" si="9"/>
        <v>118</v>
      </c>
      <c r="BZ15" s="117">
        <f t="shared" si="10"/>
        <v>166</v>
      </c>
      <c r="CA15" s="118">
        <f t="shared" si="11"/>
        <v>173</v>
      </c>
      <c r="CB15" s="117">
        <f t="shared" si="12"/>
        <v>219</v>
      </c>
      <c r="CC15" s="118">
        <f t="shared" si="13"/>
        <v>266</v>
      </c>
      <c r="CD15" s="117">
        <f t="shared" si="14"/>
        <v>292</v>
      </c>
      <c r="CE15" s="116">
        <f t="shared" si="15"/>
        <v>34</v>
      </c>
      <c r="CF15" s="117">
        <f t="shared" si="16"/>
        <v>38</v>
      </c>
      <c r="CG15" s="118">
        <f t="shared" si="17"/>
        <v>69</v>
      </c>
      <c r="CH15" s="118">
        <f t="shared" si="18"/>
        <v>72</v>
      </c>
      <c r="CI15" s="118">
        <f t="shared" si="19"/>
        <v>108</v>
      </c>
      <c r="CJ15" s="118">
        <f t="shared" si="20"/>
        <v>116</v>
      </c>
      <c r="CK15" s="118">
        <f t="shared" si="21"/>
        <v>142</v>
      </c>
      <c r="CL15" s="118">
        <f t="shared" si="22"/>
        <v>168</v>
      </c>
      <c r="CM15" s="118">
        <f t="shared" si="23"/>
        <v>208</v>
      </c>
      <c r="CN15" s="118">
        <f t="shared" si="24"/>
        <v>259</v>
      </c>
      <c r="CO15" s="118">
        <f t="shared" si="25"/>
        <v>291</v>
      </c>
      <c r="CP15" s="118">
        <f t="shared" si="26"/>
        <v>305</v>
      </c>
      <c r="CQ15" s="57">
        <f t="shared" si="27"/>
        <v>1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</row>
    <row r="16" spans="1:1026" x14ac:dyDescent="0.2">
      <c r="A16" s="3" t="str">
        <f t="shared" si="0"/>
        <v>aa2ar_human_5K2A</v>
      </c>
      <c r="B16" s="3" t="s">
        <v>332</v>
      </c>
      <c r="C16" s="3" t="s">
        <v>1573</v>
      </c>
      <c r="D16" s="3" t="str">
        <f>IFERROR(MID(VLOOKUP($B16,Seqs!$A:$B,2,0),E16,1),"")</f>
        <v>P</v>
      </c>
      <c r="E16" s="3">
        <v>2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57">
        <v>35</v>
      </c>
      <c r="J16" s="3" t="str">
        <f>IFERROR(MID(VLOOKUP($B16,Seqs!$A:$B,2,0),K16,1),"")</f>
        <v>Q</v>
      </c>
      <c r="K16" s="57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G</v>
      </c>
      <c r="AC16" s="3">
        <v>118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L</v>
      </c>
      <c r="AM16" s="127">
        <v>208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V</v>
      </c>
      <c r="AY16" s="127">
        <v>307</v>
      </c>
      <c r="BA16" s="124" t="str">
        <f>VLOOKUP(B16,Classification!A:D,2,0)</f>
        <v>A</v>
      </c>
      <c r="BB16" s="90" t="s">
        <v>1596</v>
      </c>
      <c r="BC16" s="1"/>
      <c r="BD16" s="1"/>
      <c r="BE16" s="57">
        <f t="shared" si="1"/>
        <v>262</v>
      </c>
      <c r="BF16" s="63" t="b">
        <f t="shared" si="2"/>
        <v>1</v>
      </c>
      <c r="BG16" s="116" t="s">
        <v>1513</v>
      </c>
      <c r="BH16" s="102" t="s">
        <v>1513</v>
      </c>
      <c r="BI16" s="102" t="s">
        <v>1513</v>
      </c>
      <c r="BJ16" s="102" t="s">
        <v>1513</v>
      </c>
      <c r="BK16" s="102" t="s">
        <v>1513</v>
      </c>
      <c r="BL16" s="102" t="s">
        <v>1513</v>
      </c>
      <c r="BM16" s="102" t="s">
        <v>1513</v>
      </c>
      <c r="BN16" s="102" t="s">
        <v>1513</v>
      </c>
      <c r="BO16" s="102" t="s">
        <v>1513</v>
      </c>
      <c r="BP16" s="102" t="s">
        <v>1513</v>
      </c>
      <c r="BQ16" s="102" t="s">
        <v>1513</v>
      </c>
      <c r="BR16" s="102" t="s">
        <v>1513</v>
      </c>
      <c r="BS16" s="116">
        <f t="shared" si="3"/>
        <v>2</v>
      </c>
      <c r="BT16" s="117">
        <f t="shared" si="4"/>
        <v>35</v>
      </c>
      <c r="BU16" s="118">
        <f t="shared" si="5"/>
        <v>39</v>
      </c>
      <c r="BV16" s="117">
        <f t="shared" si="6"/>
        <v>70</v>
      </c>
      <c r="BW16" s="118">
        <f t="shared" si="7"/>
        <v>73</v>
      </c>
      <c r="BX16" s="117">
        <f t="shared" si="8"/>
        <v>109</v>
      </c>
      <c r="BY16" s="118">
        <f t="shared" si="9"/>
        <v>118</v>
      </c>
      <c r="BZ16" s="117">
        <f t="shared" si="10"/>
        <v>166</v>
      </c>
      <c r="CA16" s="118">
        <f t="shared" si="11"/>
        <v>173</v>
      </c>
      <c r="CB16" s="117">
        <f t="shared" si="12"/>
        <v>219</v>
      </c>
      <c r="CC16" s="118">
        <f t="shared" si="13"/>
        <v>266</v>
      </c>
      <c r="CD16" s="117">
        <f t="shared" si="14"/>
        <v>292</v>
      </c>
      <c r="CE16" s="116">
        <f t="shared" si="15"/>
        <v>34</v>
      </c>
      <c r="CF16" s="117">
        <f t="shared" si="16"/>
        <v>38</v>
      </c>
      <c r="CG16" s="118">
        <f t="shared" si="17"/>
        <v>69</v>
      </c>
      <c r="CH16" s="118">
        <f t="shared" si="18"/>
        <v>72</v>
      </c>
      <c r="CI16" s="118">
        <f t="shared" si="19"/>
        <v>108</v>
      </c>
      <c r="CJ16" s="118">
        <f t="shared" si="20"/>
        <v>116</v>
      </c>
      <c r="CK16" s="118">
        <f t="shared" si="21"/>
        <v>142</v>
      </c>
      <c r="CL16" s="118">
        <f t="shared" si="22"/>
        <v>168</v>
      </c>
      <c r="CM16" s="118">
        <f t="shared" si="23"/>
        <v>208</v>
      </c>
      <c r="CN16" s="118">
        <f t="shared" si="24"/>
        <v>259</v>
      </c>
      <c r="CO16" s="118">
        <f t="shared" si="25"/>
        <v>291</v>
      </c>
      <c r="CP16" s="118">
        <f t="shared" si="26"/>
        <v>307</v>
      </c>
      <c r="CQ16" s="57">
        <f t="shared" si="27"/>
        <v>1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</row>
    <row r="17" spans="1:1026" x14ac:dyDescent="0.2">
      <c r="A17" s="3" t="str">
        <f t="shared" si="0"/>
        <v>aa2ar_human_5K2B</v>
      </c>
      <c r="B17" s="3" t="s">
        <v>332</v>
      </c>
      <c r="C17" s="3" t="s">
        <v>1574</v>
      </c>
      <c r="D17" s="3" t="str">
        <f>IFERROR(MID(VLOOKUP($B17,Seqs!$A:$B,2,0),E17,1),"")</f>
        <v>P</v>
      </c>
      <c r="E17" s="3">
        <v>2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57">
        <v>35</v>
      </c>
      <c r="J17" s="3" t="str">
        <f>IFERROR(MID(VLOOKUP($B17,Seqs!$A:$B,2,0),K17,1),"")</f>
        <v>Q</v>
      </c>
      <c r="K17" s="57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G</v>
      </c>
      <c r="AC17" s="3">
        <v>118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L</v>
      </c>
      <c r="AM17" s="127">
        <v>208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V</v>
      </c>
      <c r="AY17" s="127">
        <v>307</v>
      </c>
      <c r="BA17" s="124" t="str">
        <f>VLOOKUP(B17,Classification!A:D,2,0)</f>
        <v>A</v>
      </c>
      <c r="BB17" s="90" t="s">
        <v>1596</v>
      </c>
      <c r="BC17" s="1"/>
      <c r="BD17" s="1"/>
      <c r="BE17" s="57">
        <f t="shared" si="1"/>
        <v>262</v>
      </c>
      <c r="BF17" s="63" t="b">
        <f t="shared" si="2"/>
        <v>1</v>
      </c>
      <c r="BG17" s="116" t="s">
        <v>1513</v>
      </c>
      <c r="BH17" s="102" t="s">
        <v>1513</v>
      </c>
      <c r="BI17" s="102" t="s">
        <v>1513</v>
      </c>
      <c r="BJ17" s="102" t="s">
        <v>1513</v>
      </c>
      <c r="BK17" s="102" t="s">
        <v>1513</v>
      </c>
      <c r="BL17" s="102" t="s">
        <v>1513</v>
      </c>
      <c r="BM17" s="102" t="s">
        <v>1513</v>
      </c>
      <c r="BN17" s="102" t="s">
        <v>1513</v>
      </c>
      <c r="BO17" s="102" t="s">
        <v>1513</v>
      </c>
      <c r="BP17" s="102" t="s">
        <v>1513</v>
      </c>
      <c r="BQ17" s="102" t="s">
        <v>1513</v>
      </c>
      <c r="BR17" s="102" t="s">
        <v>1513</v>
      </c>
      <c r="BS17" s="116">
        <f t="shared" si="3"/>
        <v>2</v>
      </c>
      <c r="BT17" s="117">
        <f t="shared" si="4"/>
        <v>35</v>
      </c>
      <c r="BU17" s="118">
        <f t="shared" si="5"/>
        <v>39</v>
      </c>
      <c r="BV17" s="117">
        <f t="shared" si="6"/>
        <v>70</v>
      </c>
      <c r="BW17" s="118">
        <f t="shared" si="7"/>
        <v>73</v>
      </c>
      <c r="BX17" s="117">
        <f t="shared" si="8"/>
        <v>109</v>
      </c>
      <c r="BY17" s="118">
        <f t="shared" si="9"/>
        <v>118</v>
      </c>
      <c r="BZ17" s="117">
        <f t="shared" si="10"/>
        <v>166</v>
      </c>
      <c r="CA17" s="118">
        <f t="shared" si="11"/>
        <v>173</v>
      </c>
      <c r="CB17" s="117">
        <f t="shared" si="12"/>
        <v>219</v>
      </c>
      <c r="CC17" s="118">
        <f t="shared" si="13"/>
        <v>266</v>
      </c>
      <c r="CD17" s="117">
        <f t="shared" si="14"/>
        <v>292</v>
      </c>
      <c r="CE17" s="116">
        <f t="shared" si="15"/>
        <v>34</v>
      </c>
      <c r="CF17" s="117">
        <f t="shared" si="16"/>
        <v>38</v>
      </c>
      <c r="CG17" s="118">
        <f t="shared" si="17"/>
        <v>69</v>
      </c>
      <c r="CH17" s="118">
        <f t="shared" si="18"/>
        <v>72</v>
      </c>
      <c r="CI17" s="118">
        <f t="shared" si="19"/>
        <v>108</v>
      </c>
      <c r="CJ17" s="118">
        <f t="shared" si="20"/>
        <v>116</v>
      </c>
      <c r="CK17" s="118">
        <f t="shared" si="21"/>
        <v>142</v>
      </c>
      <c r="CL17" s="118">
        <f t="shared" si="22"/>
        <v>168</v>
      </c>
      <c r="CM17" s="118">
        <f t="shared" si="23"/>
        <v>208</v>
      </c>
      <c r="CN17" s="118">
        <f t="shared" si="24"/>
        <v>259</v>
      </c>
      <c r="CO17" s="118">
        <f t="shared" si="25"/>
        <v>291</v>
      </c>
      <c r="CP17" s="118">
        <f t="shared" si="26"/>
        <v>307</v>
      </c>
      <c r="CQ17" s="57">
        <f t="shared" si="27"/>
        <v>1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</row>
    <row r="18" spans="1:1026" x14ac:dyDescent="0.2">
      <c r="A18" s="3" t="str">
        <f t="shared" si="0"/>
        <v>aa2ar_human_5K2C</v>
      </c>
      <c r="B18" s="3" t="s">
        <v>332</v>
      </c>
      <c r="C18" s="3" t="s">
        <v>1575</v>
      </c>
      <c r="D18" s="3" t="str">
        <f>IFERROR(MID(VLOOKUP($B18,Seqs!$A:$B,2,0),E18,1),"")</f>
        <v>P</v>
      </c>
      <c r="E18" s="3">
        <v>2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57">
        <v>35</v>
      </c>
      <c r="J18" s="3" t="str">
        <f>IFERROR(MID(VLOOKUP($B18,Seqs!$A:$B,2,0),K18,1),"")</f>
        <v>Q</v>
      </c>
      <c r="K18" s="57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G</v>
      </c>
      <c r="AC18" s="3">
        <v>118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L</v>
      </c>
      <c r="AM18" s="127">
        <v>208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V</v>
      </c>
      <c r="AY18" s="127">
        <v>307</v>
      </c>
      <c r="BA18" s="124" t="str">
        <f>VLOOKUP(B18,Classification!A:D,2,0)</f>
        <v>A</v>
      </c>
      <c r="BB18" s="90" t="s">
        <v>1596</v>
      </c>
      <c r="BC18" s="1"/>
      <c r="BD18" s="4"/>
      <c r="BE18" s="57">
        <f t="shared" si="1"/>
        <v>262</v>
      </c>
      <c r="BF18" s="63" t="b">
        <f t="shared" si="2"/>
        <v>1</v>
      </c>
      <c r="BG18" s="116" t="s">
        <v>1513</v>
      </c>
      <c r="BH18" s="102" t="s">
        <v>1513</v>
      </c>
      <c r="BI18" s="102" t="s">
        <v>1513</v>
      </c>
      <c r="BJ18" s="102" t="s">
        <v>1513</v>
      </c>
      <c r="BK18" s="102" t="s">
        <v>1513</v>
      </c>
      <c r="BL18" s="102" t="s">
        <v>1513</v>
      </c>
      <c r="BM18" s="102" t="s">
        <v>1513</v>
      </c>
      <c r="BN18" s="102" t="s">
        <v>1513</v>
      </c>
      <c r="BO18" s="102" t="s">
        <v>1513</v>
      </c>
      <c r="BP18" s="102" t="s">
        <v>1513</v>
      </c>
      <c r="BQ18" s="102" t="s">
        <v>1513</v>
      </c>
      <c r="BR18" s="102" t="s">
        <v>1513</v>
      </c>
      <c r="BS18" s="116">
        <f t="shared" si="3"/>
        <v>2</v>
      </c>
      <c r="BT18" s="117">
        <f t="shared" si="4"/>
        <v>35</v>
      </c>
      <c r="BU18" s="118">
        <f t="shared" si="5"/>
        <v>39</v>
      </c>
      <c r="BV18" s="117">
        <f t="shared" si="6"/>
        <v>70</v>
      </c>
      <c r="BW18" s="118">
        <f t="shared" si="7"/>
        <v>73</v>
      </c>
      <c r="BX18" s="117">
        <f t="shared" si="8"/>
        <v>109</v>
      </c>
      <c r="BY18" s="118">
        <f t="shared" si="9"/>
        <v>118</v>
      </c>
      <c r="BZ18" s="117">
        <f t="shared" si="10"/>
        <v>166</v>
      </c>
      <c r="CA18" s="118">
        <f t="shared" si="11"/>
        <v>173</v>
      </c>
      <c r="CB18" s="117">
        <f t="shared" si="12"/>
        <v>219</v>
      </c>
      <c r="CC18" s="118">
        <f t="shared" si="13"/>
        <v>266</v>
      </c>
      <c r="CD18" s="117">
        <f t="shared" si="14"/>
        <v>292</v>
      </c>
      <c r="CE18" s="116">
        <f t="shared" si="15"/>
        <v>34</v>
      </c>
      <c r="CF18" s="117">
        <f t="shared" si="16"/>
        <v>38</v>
      </c>
      <c r="CG18" s="118">
        <f t="shared" si="17"/>
        <v>69</v>
      </c>
      <c r="CH18" s="118">
        <f t="shared" si="18"/>
        <v>72</v>
      </c>
      <c r="CI18" s="118">
        <f t="shared" si="19"/>
        <v>108</v>
      </c>
      <c r="CJ18" s="118">
        <f t="shared" si="20"/>
        <v>116</v>
      </c>
      <c r="CK18" s="118">
        <f t="shared" si="21"/>
        <v>142</v>
      </c>
      <c r="CL18" s="118">
        <f t="shared" si="22"/>
        <v>168</v>
      </c>
      <c r="CM18" s="118">
        <f t="shared" si="23"/>
        <v>208</v>
      </c>
      <c r="CN18" s="118">
        <f t="shared" si="24"/>
        <v>259</v>
      </c>
      <c r="CO18" s="118">
        <f t="shared" si="25"/>
        <v>291</v>
      </c>
      <c r="CP18" s="118">
        <f t="shared" si="26"/>
        <v>307</v>
      </c>
      <c r="CQ18" s="57">
        <f t="shared" si="27"/>
        <v>1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</row>
    <row r="19" spans="1:1026" x14ac:dyDescent="0.2">
      <c r="A19" s="3" t="str">
        <f t="shared" si="0"/>
        <v>aa2ar_human_5K2D</v>
      </c>
      <c r="B19" s="3" t="s">
        <v>332</v>
      </c>
      <c r="C19" s="3" t="s">
        <v>1576</v>
      </c>
      <c r="D19" s="3" t="str">
        <f>IFERROR(MID(VLOOKUP($B19,Seqs!$A:$B,2,0),E19,1),"")</f>
        <v>P</v>
      </c>
      <c r="E19" s="3">
        <v>2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57">
        <v>35</v>
      </c>
      <c r="J19" s="3" t="str">
        <f>IFERROR(MID(VLOOKUP($B19,Seqs!$A:$B,2,0),K19,1),"")</f>
        <v>Q</v>
      </c>
      <c r="K19" s="57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G</v>
      </c>
      <c r="AC19" s="3">
        <v>118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L</v>
      </c>
      <c r="AM19" s="127">
        <v>208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V</v>
      </c>
      <c r="AY19" s="127">
        <v>307</v>
      </c>
      <c r="BA19" s="124" t="str">
        <f>VLOOKUP(B19,Classification!A:D,2,0)</f>
        <v>A</v>
      </c>
      <c r="BB19" s="90" t="s">
        <v>1596</v>
      </c>
      <c r="BC19" s="1"/>
      <c r="BD19" s="1"/>
      <c r="BE19" s="57">
        <f t="shared" si="1"/>
        <v>262</v>
      </c>
      <c r="BF19" s="63" t="b">
        <f t="shared" si="2"/>
        <v>1</v>
      </c>
      <c r="BG19" s="116" t="s">
        <v>1513</v>
      </c>
      <c r="BH19" s="102" t="s">
        <v>1513</v>
      </c>
      <c r="BI19" s="102" t="s">
        <v>1513</v>
      </c>
      <c r="BJ19" s="102" t="s">
        <v>1513</v>
      </c>
      <c r="BK19" s="102" t="s">
        <v>1513</v>
      </c>
      <c r="BL19" s="102" t="s">
        <v>1513</v>
      </c>
      <c r="BM19" s="102" t="s">
        <v>1513</v>
      </c>
      <c r="BN19" s="102" t="s">
        <v>1513</v>
      </c>
      <c r="BO19" s="102" t="s">
        <v>1513</v>
      </c>
      <c r="BP19" s="102" t="s">
        <v>1513</v>
      </c>
      <c r="BQ19" s="102" t="s">
        <v>1513</v>
      </c>
      <c r="BR19" s="102" t="s">
        <v>1513</v>
      </c>
      <c r="BS19" s="116">
        <f t="shared" si="3"/>
        <v>2</v>
      </c>
      <c r="BT19" s="117">
        <f t="shared" si="4"/>
        <v>35</v>
      </c>
      <c r="BU19" s="118">
        <f t="shared" si="5"/>
        <v>39</v>
      </c>
      <c r="BV19" s="117">
        <f t="shared" si="6"/>
        <v>70</v>
      </c>
      <c r="BW19" s="118">
        <f t="shared" si="7"/>
        <v>73</v>
      </c>
      <c r="BX19" s="117">
        <f t="shared" si="8"/>
        <v>109</v>
      </c>
      <c r="BY19" s="118">
        <f t="shared" si="9"/>
        <v>118</v>
      </c>
      <c r="BZ19" s="117">
        <f t="shared" si="10"/>
        <v>166</v>
      </c>
      <c r="CA19" s="118">
        <f t="shared" si="11"/>
        <v>173</v>
      </c>
      <c r="CB19" s="117">
        <f t="shared" si="12"/>
        <v>219</v>
      </c>
      <c r="CC19" s="118">
        <f t="shared" si="13"/>
        <v>266</v>
      </c>
      <c r="CD19" s="117">
        <f t="shared" si="14"/>
        <v>292</v>
      </c>
      <c r="CE19" s="116">
        <f t="shared" si="15"/>
        <v>34</v>
      </c>
      <c r="CF19" s="117">
        <f t="shared" si="16"/>
        <v>38</v>
      </c>
      <c r="CG19" s="118">
        <f t="shared" si="17"/>
        <v>69</v>
      </c>
      <c r="CH19" s="118">
        <f t="shared" si="18"/>
        <v>72</v>
      </c>
      <c r="CI19" s="118">
        <f t="shared" si="19"/>
        <v>108</v>
      </c>
      <c r="CJ19" s="118">
        <f t="shared" si="20"/>
        <v>116</v>
      </c>
      <c r="CK19" s="118">
        <f t="shared" si="21"/>
        <v>142</v>
      </c>
      <c r="CL19" s="118">
        <f t="shared" si="22"/>
        <v>168</v>
      </c>
      <c r="CM19" s="118">
        <f t="shared" si="23"/>
        <v>208</v>
      </c>
      <c r="CN19" s="118">
        <f t="shared" si="24"/>
        <v>259</v>
      </c>
      <c r="CO19" s="118">
        <f t="shared" si="25"/>
        <v>291</v>
      </c>
      <c r="CP19" s="118">
        <f t="shared" si="26"/>
        <v>307</v>
      </c>
      <c r="CQ19" s="57">
        <f t="shared" si="27"/>
        <v>1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</row>
    <row r="20" spans="1:1026" x14ac:dyDescent="0.2">
      <c r="A20" s="3" t="str">
        <f t="shared" si="0"/>
        <v>aa2ar_human_2YDO</v>
      </c>
      <c r="B20" s="3" t="s">
        <v>332</v>
      </c>
      <c r="C20" s="3" t="s">
        <v>1234</v>
      </c>
      <c r="D20" s="3" t="str">
        <f>IFERROR(MID(VLOOKUP($B20,Seqs!$A:$B,2,0),E20,1),"")</f>
        <v>S</v>
      </c>
      <c r="E20" s="3">
        <v>7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57">
        <v>35</v>
      </c>
      <c r="J20" s="3" t="str">
        <f>IFERROR(MID(VLOOKUP($B20,Seqs!$A:$B,2,0),K20,1),"")</f>
        <v>Q</v>
      </c>
      <c r="K20" s="57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G</v>
      </c>
      <c r="AC20" s="3">
        <v>118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210</v>
      </c>
      <c r="AN20" s="3" t="str">
        <f>IFERROR(MID(VLOOKUP($B20,Seqs!$A:$B,2,0),AO20,1),"")</f>
        <v>L</v>
      </c>
      <c r="AO20" s="3">
        <v>225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A</v>
      </c>
      <c r="AY20" s="3">
        <v>317</v>
      </c>
      <c r="BA20" s="124" t="str">
        <f>VLOOKUP(B20,Classification!A:D,2,0)</f>
        <v>A</v>
      </c>
      <c r="BC20" s="1"/>
      <c r="BD20" s="4"/>
      <c r="BE20" s="57">
        <f t="shared" si="1"/>
        <v>263</v>
      </c>
      <c r="BF20" s="63" t="b">
        <f t="shared" si="2"/>
        <v>1</v>
      </c>
      <c r="BG20" s="116" t="s">
        <v>1513</v>
      </c>
      <c r="BH20" s="102" t="s">
        <v>1513</v>
      </c>
      <c r="BI20" s="102" t="s">
        <v>1513</v>
      </c>
      <c r="BJ20" s="102" t="s">
        <v>1513</v>
      </c>
      <c r="BK20" s="102" t="s">
        <v>1513</v>
      </c>
      <c r="BL20" s="102" t="s">
        <v>1513</v>
      </c>
      <c r="BM20" s="102" t="s">
        <v>1513</v>
      </c>
      <c r="BN20" s="102" t="s">
        <v>1513</v>
      </c>
      <c r="BO20" s="102" t="s">
        <v>1513</v>
      </c>
      <c r="BP20" s="102" t="s">
        <v>1513</v>
      </c>
      <c r="BQ20" s="102" t="s">
        <v>1513</v>
      </c>
      <c r="BR20" s="102" t="s">
        <v>1513</v>
      </c>
      <c r="BS20" s="116">
        <f t="shared" si="3"/>
        <v>7</v>
      </c>
      <c r="BT20" s="117">
        <f t="shared" si="4"/>
        <v>35</v>
      </c>
      <c r="BU20" s="118">
        <f t="shared" si="5"/>
        <v>39</v>
      </c>
      <c r="BV20" s="117">
        <f t="shared" si="6"/>
        <v>70</v>
      </c>
      <c r="BW20" s="118">
        <f t="shared" si="7"/>
        <v>73</v>
      </c>
      <c r="BX20" s="117">
        <f t="shared" si="8"/>
        <v>109</v>
      </c>
      <c r="BY20" s="118">
        <f t="shared" si="9"/>
        <v>118</v>
      </c>
      <c r="BZ20" s="117">
        <f t="shared" si="10"/>
        <v>166</v>
      </c>
      <c r="CA20" s="118">
        <f t="shared" si="11"/>
        <v>173</v>
      </c>
      <c r="CB20" s="117">
        <f t="shared" si="12"/>
        <v>225</v>
      </c>
      <c r="CC20" s="118">
        <f t="shared" si="13"/>
        <v>266</v>
      </c>
      <c r="CD20" s="117">
        <f t="shared" si="14"/>
        <v>292</v>
      </c>
      <c r="CE20" s="116">
        <f t="shared" si="15"/>
        <v>34</v>
      </c>
      <c r="CF20" s="117">
        <f t="shared" si="16"/>
        <v>38</v>
      </c>
      <c r="CG20" s="118">
        <f t="shared" si="17"/>
        <v>69</v>
      </c>
      <c r="CH20" s="118">
        <f t="shared" si="18"/>
        <v>72</v>
      </c>
      <c r="CI20" s="118">
        <f t="shared" si="19"/>
        <v>108</v>
      </c>
      <c r="CJ20" s="118">
        <f t="shared" si="20"/>
        <v>116</v>
      </c>
      <c r="CK20" s="118">
        <f t="shared" si="21"/>
        <v>142</v>
      </c>
      <c r="CL20" s="118">
        <f t="shared" si="22"/>
        <v>168</v>
      </c>
      <c r="CM20" s="118">
        <f t="shared" si="23"/>
        <v>210</v>
      </c>
      <c r="CN20" s="118">
        <f t="shared" si="24"/>
        <v>259</v>
      </c>
      <c r="CO20" s="118">
        <f t="shared" si="25"/>
        <v>291</v>
      </c>
      <c r="CP20" s="118">
        <f t="shared" si="26"/>
        <v>317</v>
      </c>
      <c r="CQ20" s="57">
        <f t="shared" si="27"/>
        <v>1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</row>
    <row r="21" spans="1:1026" x14ac:dyDescent="0.2">
      <c r="A21" s="3" t="str">
        <f t="shared" si="0"/>
        <v>aa2ar_human_2YDV</v>
      </c>
      <c r="B21" s="3" t="s">
        <v>332</v>
      </c>
      <c r="C21" s="3" t="s">
        <v>270</v>
      </c>
      <c r="D21" s="3" t="str">
        <f>IFERROR(MID(VLOOKUP($B21,Seqs!$A:$B,2,0),E21,1),"")</f>
        <v>S</v>
      </c>
      <c r="E21" s="3">
        <v>7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57">
        <v>35</v>
      </c>
      <c r="J21" s="3" t="str">
        <f>IFERROR(MID(VLOOKUP($B21,Seqs!$A:$B,2,0),K21,1),"")</f>
        <v>Q</v>
      </c>
      <c r="K21" s="57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G</v>
      </c>
      <c r="AC21" s="3">
        <v>118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210</v>
      </c>
      <c r="AN21" s="3" t="str">
        <f>IFERROR(MID(VLOOKUP($B21,Seqs!$A:$B,2,0),AO21,1),"")</f>
        <v>T</v>
      </c>
      <c r="AO21" s="3">
        <v>224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A</v>
      </c>
      <c r="AY21" s="3">
        <v>317</v>
      </c>
      <c r="BA21" s="124" t="str">
        <f>VLOOKUP(B21,Classification!A:D,2,0)</f>
        <v>A</v>
      </c>
      <c r="BC21" s="1"/>
      <c r="BD21" s="1"/>
      <c r="BE21" s="57">
        <f t="shared" si="1"/>
        <v>264</v>
      </c>
      <c r="BF21" s="63" t="b">
        <f t="shared" si="2"/>
        <v>1</v>
      </c>
      <c r="BG21" s="116" t="s">
        <v>1513</v>
      </c>
      <c r="BH21" s="102" t="s">
        <v>1513</v>
      </c>
      <c r="BI21" s="102" t="s">
        <v>1513</v>
      </c>
      <c r="BJ21" s="102" t="s">
        <v>1513</v>
      </c>
      <c r="BK21" s="102" t="s">
        <v>1513</v>
      </c>
      <c r="BL21" s="102" t="s">
        <v>1513</v>
      </c>
      <c r="BM21" s="102" t="s">
        <v>1513</v>
      </c>
      <c r="BN21" s="102" t="s">
        <v>1513</v>
      </c>
      <c r="BO21" s="102" t="s">
        <v>1513</v>
      </c>
      <c r="BP21" s="102" t="s">
        <v>1513</v>
      </c>
      <c r="BQ21" s="102" t="s">
        <v>1513</v>
      </c>
      <c r="BR21" s="102" t="s">
        <v>1513</v>
      </c>
      <c r="BS21" s="116">
        <f t="shared" si="3"/>
        <v>7</v>
      </c>
      <c r="BT21" s="117">
        <f t="shared" si="4"/>
        <v>35</v>
      </c>
      <c r="BU21" s="118">
        <f t="shared" si="5"/>
        <v>39</v>
      </c>
      <c r="BV21" s="117">
        <f t="shared" si="6"/>
        <v>70</v>
      </c>
      <c r="BW21" s="118">
        <f t="shared" si="7"/>
        <v>73</v>
      </c>
      <c r="BX21" s="117">
        <f t="shared" si="8"/>
        <v>109</v>
      </c>
      <c r="BY21" s="118">
        <f t="shared" si="9"/>
        <v>118</v>
      </c>
      <c r="BZ21" s="117">
        <f t="shared" si="10"/>
        <v>166</v>
      </c>
      <c r="CA21" s="118">
        <f t="shared" si="11"/>
        <v>173</v>
      </c>
      <c r="CB21" s="117">
        <f t="shared" si="12"/>
        <v>224</v>
      </c>
      <c r="CC21" s="118">
        <f t="shared" si="13"/>
        <v>266</v>
      </c>
      <c r="CD21" s="117">
        <f t="shared" si="14"/>
        <v>292</v>
      </c>
      <c r="CE21" s="116">
        <f t="shared" si="15"/>
        <v>34</v>
      </c>
      <c r="CF21" s="117">
        <f t="shared" si="16"/>
        <v>38</v>
      </c>
      <c r="CG21" s="118">
        <f t="shared" si="17"/>
        <v>69</v>
      </c>
      <c r="CH21" s="118">
        <f t="shared" si="18"/>
        <v>72</v>
      </c>
      <c r="CI21" s="118">
        <f t="shared" si="19"/>
        <v>108</v>
      </c>
      <c r="CJ21" s="118">
        <f t="shared" si="20"/>
        <v>116</v>
      </c>
      <c r="CK21" s="118">
        <f t="shared" si="21"/>
        <v>142</v>
      </c>
      <c r="CL21" s="118">
        <f t="shared" si="22"/>
        <v>168</v>
      </c>
      <c r="CM21" s="118">
        <f t="shared" si="23"/>
        <v>210</v>
      </c>
      <c r="CN21" s="118">
        <f t="shared" si="24"/>
        <v>259</v>
      </c>
      <c r="CO21" s="118">
        <f t="shared" si="25"/>
        <v>291</v>
      </c>
      <c r="CP21" s="118">
        <f t="shared" si="26"/>
        <v>317</v>
      </c>
      <c r="CQ21" s="57">
        <f t="shared" si="27"/>
        <v>1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</row>
    <row r="22" spans="1:1026" x14ac:dyDescent="0.2">
      <c r="A22" s="3" t="str">
        <f t="shared" si="0"/>
        <v>aa2ar_human_3QAK</v>
      </c>
      <c r="B22" s="3" t="s">
        <v>332</v>
      </c>
      <c r="C22" s="3" t="s">
        <v>1239</v>
      </c>
      <c r="D22" s="3" t="str">
        <f>IFERROR(MID(VLOOKUP($B22,Seqs!$A:$B,2,0),E22,1),"")</f>
        <v>G</v>
      </c>
      <c r="E22" s="3">
        <v>5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57">
        <v>35</v>
      </c>
      <c r="J22" s="3" t="str">
        <f>IFERROR(MID(VLOOKUP($B22,Seqs!$A:$B,2,0),K22,1),"")</f>
        <v>Q</v>
      </c>
      <c r="K22" s="57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G</v>
      </c>
      <c r="AC22" s="3">
        <v>118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A</v>
      </c>
      <c r="AM22" s="3">
        <v>204</v>
      </c>
      <c r="AN22" s="3" t="str">
        <f>IFERROR(MID(VLOOKUP($B22,Seqs!$A:$B,2,0),AO22,1),"")</f>
        <v>Q</v>
      </c>
      <c r="AO22" s="3">
        <v>226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L</v>
      </c>
      <c r="AY22" s="3">
        <v>308</v>
      </c>
      <c r="BA22" s="124" t="str">
        <f>VLOOKUP(B22,Classification!A:D,2,0)</f>
        <v>A</v>
      </c>
      <c r="BC22" s="1"/>
      <c r="BD22" s="1"/>
      <c r="BE22" s="57">
        <f t="shared" si="1"/>
        <v>249</v>
      </c>
      <c r="BF22" s="63" t="b">
        <f t="shared" si="2"/>
        <v>1</v>
      </c>
      <c r="BG22" s="116" t="s">
        <v>1513</v>
      </c>
      <c r="BH22" s="102" t="s">
        <v>1513</v>
      </c>
      <c r="BI22" s="102" t="s">
        <v>1513</v>
      </c>
      <c r="BJ22" s="102" t="s">
        <v>1513</v>
      </c>
      <c r="BK22" s="102" t="s">
        <v>1513</v>
      </c>
      <c r="BL22" s="102" t="s">
        <v>1513</v>
      </c>
      <c r="BM22" s="102" t="s">
        <v>1513</v>
      </c>
      <c r="BN22" s="102" t="s">
        <v>1513</v>
      </c>
      <c r="BO22" s="102" t="s">
        <v>1513</v>
      </c>
      <c r="BP22" s="102" t="s">
        <v>1513</v>
      </c>
      <c r="BQ22" s="102" t="s">
        <v>1513</v>
      </c>
      <c r="BR22" s="102" t="s">
        <v>1513</v>
      </c>
      <c r="BS22" s="116">
        <f t="shared" si="3"/>
        <v>5</v>
      </c>
      <c r="BT22" s="117">
        <f t="shared" si="4"/>
        <v>35</v>
      </c>
      <c r="BU22" s="118">
        <f t="shared" si="5"/>
        <v>39</v>
      </c>
      <c r="BV22" s="117">
        <f t="shared" si="6"/>
        <v>70</v>
      </c>
      <c r="BW22" s="118">
        <f t="shared" si="7"/>
        <v>73</v>
      </c>
      <c r="BX22" s="117">
        <f t="shared" si="8"/>
        <v>109</v>
      </c>
      <c r="BY22" s="118">
        <f t="shared" si="9"/>
        <v>118</v>
      </c>
      <c r="BZ22" s="117">
        <f t="shared" si="10"/>
        <v>166</v>
      </c>
      <c r="CA22" s="118">
        <f t="shared" si="11"/>
        <v>173</v>
      </c>
      <c r="CB22" s="117">
        <f t="shared" si="12"/>
        <v>226</v>
      </c>
      <c r="CC22" s="118">
        <f t="shared" si="13"/>
        <v>266</v>
      </c>
      <c r="CD22" s="117">
        <f t="shared" si="14"/>
        <v>292</v>
      </c>
      <c r="CE22" s="116">
        <f t="shared" si="15"/>
        <v>34</v>
      </c>
      <c r="CF22" s="117">
        <f t="shared" si="16"/>
        <v>38</v>
      </c>
      <c r="CG22" s="118">
        <f t="shared" si="17"/>
        <v>69</v>
      </c>
      <c r="CH22" s="118">
        <f t="shared" si="18"/>
        <v>72</v>
      </c>
      <c r="CI22" s="118">
        <f t="shared" si="19"/>
        <v>108</v>
      </c>
      <c r="CJ22" s="118">
        <f t="shared" si="20"/>
        <v>116</v>
      </c>
      <c r="CK22" s="118">
        <f t="shared" si="21"/>
        <v>142</v>
      </c>
      <c r="CL22" s="118">
        <f t="shared" si="22"/>
        <v>168</v>
      </c>
      <c r="CM22" s="118">
        <f t="shared" si="23"/>
        <v>204</v>
      </c>
      <c r="CN22" s="118">
        <f t="shared" si="24"/>
        <v>259</v>
      </c>
      <c r="CO22" s="118">
        <f t="shared" si="25"/>
        <v>291</v>
      </c>
      <c r="CP22" s="118">
        <f t="shared" si="26"/>
        <v>308</v>
      </c>
      <c r="CQ22" s="57">
        <f t="shared" si="27"/>
        <v>1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</row>
    <row r="23" spans="1:1026" x14ac:dyDescent="0.2">
      <c r="A23" s="3" t="str">
        <f t="shared" si="0"/>
        <v>aa2ar_human_3REY</v>
      </c>
      <c r="B23" s="3" t="s">
        <v>332</v>
      </c>
      <c r="C23" s="3" t="s">
        <v>274</v>
      </c>
      <c r="D23" s="3" t="str">
        <f>IFERROR(MID(VLOOKUP($B23,Seqs!$A:$B,2,0),E23,1),"")</f>
        <v>S</v>
      </c>
      <c r="E23" s="3">
        <v>7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57">
        <v>35</v>
      </c>
      <c r="J23" s="3" t="str">
        <f>IFERROR(MID(VLOOKUP($B23,Seqs!$A:$B,2,0),K23,1),"")</f>
        <v>Q</v>
      </c>
      <c r="K23" s="57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G</v>
      </c>
      <c r="AC23" s="3">
        <v>118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210</v>
      </c>
      <c r="AN23" s="3" t="str">
        <f>IFERROR(MID(VLOOKUP($B23,Seqs!$A:$B,2,0),AO23,1),"")</f>
        <v>E</v>
      </c>
      <c r="AO23" s="3">
        <v>219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BA23" s="124" t="str">
        <f>VLOOKUP(B23,Classification!A:D,2,0)</f>
        <v>A</v>
      </c>
      <c r="BC23" s="1"/>
      <c r="BD23" s="1"/>
      <c r="BE23" s="57">
        <f t="shared" si="1"/>
        <v>257</v>
      </c>
      <c r="BF23" s="63" t="b">
        <f t="shared" si="2"/>
        <v>1</v>
      </c>
      <c r="BG23" s="116" t="s">
        <v>1513</v>
      </c>
      <c r="BH23" s="102" t="s">
        <v>1513</v>
      </c>
      <c r="BI23" s="102" t="s">
        <v>1513</v>
      </c>
      <c r="BJ23" s="102" t="s">
        <v>1513</v>
      </c>
      <c r="BK23" s="102" t="s">
        <v>1513</v>
      </c>
      <c r="BL23" s="102" t="s">
        <v>1513</v>
      </c>
      <c r="BM23" s="102" t="s">
        <v>1513</v>
      </c>
      <c r="BN23" s="102" t="s">
        <v>1513</v>
      </c>
      <c r="BO23" s="102" t="s">
        <v>1513</v>
      </c>
      <c r="BP23" s="102" t="s">
        <v>1513</v>
      </c>
      <c r="BQ23" s="102" t="s">
        <v>1513</v>
      </c>
      <c r="BR23" s="102" t="s">
        <v>1513</v>
      </c>
      <c r="BS23" s="116">
        <f t="shared" si="3"/>
        <v>7</v>
      </c>
      <c r="BT23" s="117">
        <f t="shared" si="4"/>
        <v>35</v>
      </c>
      <c r="BU23" s="118">
        <f t="shared" si="5"/>
        <v>39</v>
      </c>
      <c r="BV23" s="117">
        <f t="shared" si="6"/>
        <v>70</v>
      </c>
      <c r="BW23" s="118">
        <f t="shared" si="7"/>
        <v>73</v>
      </c>
      <c r="BX23" s="117">
        <f t="shared" si="8"/>
        <v>109</v>
      </c>
      <c r="BY23" s="118">
        <f t="shared" si="9"/>
        <v>118</v>
      </c>
      <c r="BZ23" s="117">
        <f t="shared" si="10"/>
        <v>166</v>
      </c>
      <c r="CA23" s="118">
        <f t="shared" si="11"/>
        <v>173</v>
      </c>
      <c r="CB23" s="117">
        <f t="shared" si="12"/>
        <v>219</v>
      </c>
      <c r="CC23" s="118">
        <f t="shared" si="13"/>
        <v>266</v>
      </c>
      <c r="CD23" s="117">
        <f t="shared" si="14"/>
        <v>292</v>
      </c>
      <c r="CE23" s="116">
        <f t="shared" si="15"/>
        <v>34</v>
      </c>
      <c r="CF23" s="117">
        <f t="shared" si="16"/>
        <v>38</v>
      </c>
      <c r="CG23" s="118">
        <f t="shared" si="17"/>
        <v>69</v>
      </c>
      <c r="CH23" s="118">
        <f t="shared" si="18"/>
        <v>72</v>
      </c>
      <c r="CI23" s="118">
        <f t="shared" si="19"/>
        <v>108</v>
      </c>
      <c r="CJ23" s="118">
        <f t="shared" si="20"/>
        <v>116</v>
      </c>
      <c r="CK23" s="118">
        <f t="shared" si="21"/>
        <v>142</v>
      </c>
      <c r="CL23" s="118">
        <f t="shared" si="22"/>
        <v>168</v>
      </c>
      <c r="CM23" s="118">
        <f t="shared" si="23"/>
        <v>210</v>
      </c>
      <c r="CN23" s="118">
        <f t="shared" si="24"/>
        <v>259</v>
      </c>
      <c r="CO23" s="118">
        <f t="shared" si="25"/>
        <v>291</v>
      </c>
      <c r="CP23" s="118">
        <f t="shared" si="26"/>
        <v>305</v>
      </c>
      <c r="CQ23" s="57">
        <f t="shared" si="27"/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</row>
    <row r="24" spans="1:1026" x14ac:dyDescent="0.2">
      <c r="A24" s="3" t="str">
        <f t="shared" si="0"/>
        <v>aa2ar_human_3RFM</v>
      </c>
      <c r="B24" s="3" t="s">
        <v>332</v>
      </c>
      <c r="C24" s="3" t="s">
        <v>1240</v>
      </c>
      <c r="D24" s="3" t="str">
        <f>IFERROR(MID(VLOOKUP($B24,Seqs!$A:$B,2,0),E24,1),"")</f>
        <v>S</v>
      </c>
      <c r="E24" s="3">
        <v>7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57">
        <v>35</v>
      </c>
      <c r="J24" s="3" t="str">
        <f>IFERROR(MID(VLOOKUP($B24,Seqs!$A:$B,2,0),K24,1),"")</f>
        <v>Q</v>
      </c>
      <c r="K24" s="57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G</v>
      </c>
      <c r="AC24" s="3">
        <v>118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BA24" s="124" t="str">
        <f>VLOOKUP(B24,Classification!A:D,2,0)</f>
        <v>A</v>
      </c>
      <c r="BC24" s="1"/>
      <c r="BD24" s="4"/>
      <c r="BE24" s="57">
        <f t="shared" si="1"/>
        <v>260</v>
      </c>
      <c r="BF24" s="63" t="b">
        <f t="shared" si="2"/>
        <v>1</v>
      </c>
      <c r="BG24" s="116" t="s">
        <v>1513</v>
      </c>
      <c r="BH24" s="102" t="s">
        <v>1513</v>
      </c>
      <c r="BI24" s="102" t="s">
        <v>1513</v>
      </c>
      <c r="BJ24" s="102" t="s">
        <v>1513</v>
      </c>
      <c r="BK24" s="102" t="s">
        <v>1513</v>
      </c>
      <c r="BL24" s="102" t="s">
        <v>1513</v>
      </c>
      <c r="BM24" s="102" t="s">
        <v>1513</v>
      </c>
      <c r="BN24" s="102" t="s">
        <v>1513</v>
      </c>
      <c r="BO24" s="102" t="s">
        <v>1513</v>
      </c>
      <c r="BP24" s="102" t="s">
        <v>1513</v>
      </c>
      <c r="BQ24" s="102" t="s">
        <v>1513</v>
      </c>
      <c r="BR24" s="102" t="s">
        <v>1513</v>
      </c>
      <c r="BS24" s="116">
        <f t="shared" si="3"/>
        <v>7</v>
      </c>
      <c r="BT24" s="117">
        <f t="shared" si="4"/>
        <v>35</v>
      </c>
      <c r="BU24" s="118">
        <f t="shared" si="5"/>
        <v>39</v>
      </c>
      <c r="BV24" s="117">
        <f t="shared" si="6"/>
        <v>70</v>
      </c>
      <c r="BW24" s="118">
        <f t="shared" si="7"/>
        <v>73</v>
      </c>
      <c r="BX24" s="117">
        <f t="shared" si="8"/>
        <v>109</v>
      </c>
      <c r="BY24" s="118">
        <f t="shared" si="9"/>
        <v>118</v>
      </c>
      <c r="BZ24" s="117">
        <f t="shared" si="10"/>
        <v>166</v>
      </c>
      <c r="CA24" s="118">
        <f t="shared" si="11"/>
        <v>173</v>
      </c>
      <c r="CB24" s="117">
        <f t="shared" si="12"/>
        <v>219</v>
      </c>
      <c r="CC24" s="118">
        <f t="shared" si="13"/>
        <v>266</v>
      </c>
      <c r="CD24" s="117">
        <f t="shared" si="14"/>
        <v>292</v>
      </c>
      <c r="CE24" s="116">
        <f t="shared" si="15"/>
        <v>34</v>
      </c>
      <c r="CF24" s="117">
        <f t="shared" si="16"/>
        <v>38</v>
      </c>
      <c r="CG24" s="118">
        <f t="shared" si="17"/>
        <v>69</v>
      </c>
      <c r="CH24" s="118">
        <f t="shared" si="18"/>
        <v>72</v>
      </c>
      <c r="CI24" s="118">
        <f t="shared" si="19"/>
        <v>108</v>
      </c>
      <c r="CJ24" s="118">
        <f t="shared" si="20"/>
        <v>116</v>
      </c>
      <c r="CK24" s="118">
        <f t="shared" si="21"/>
        <v>142</v>
      </c>
      <c r="CL24" s="118">
        <f t="shared" si="22"/>
        <v>168</v>
      </c>
      <c r="CM24" s="118">
        <f t="shared" si="23"/>
        <v>213</v>
      </c>
      <c r="CN24" s="118">
        <f t="shared" si="24"/>
        <v>259</v>
      </c>
      <c r="CO24" s="118">
        <f t="shared" si="25"/>
        <v>291</v>
      </c>
      <c r="CP24" s="118">
        <f t="shared" si="26"/>
        <v>305</v>
      </c>
      <c r="CQ24" s="57">
        <f t="shared" si="27"/>
        <v>1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</row>
    <row r="25" spans="1:1026" x14ac:dyDescent="0.2">
      <c r="A25" s="3" t="str">
        <f t="shared" si="0"/>
        <v>aa2ar_human_3UZA</v>
      </c>
      <c r="B25" s="3" t="s">
        <v>332</v>
      </c>
      <c r="C25" s="3" t="s">
        <v>1241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57">
        <v>35</v>
      </c>
      <c r="J25" s="3" t="str">
        <f>IFERROR(MID(VLOOKUP($B25,Seqs!$A:$B,2,0),K25,1),"")</f>
        <v>Q</v>
      </c>
      <c r="K25" s="57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G</v>
      </c>
      <c r="AC25" s="3">
        <v>118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S</v>
      </c>
      <c r="AM25" s="3">
        <v>213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S</v>
      </c>
      <c r="AY25" s="3">
        <v>305</v>
      </c>
      <c r="BA25" s="124" t="str">
        <f>VLOOKUP(B25,Classification!A:D,2,0)</f>
        <v>A</v>
      </c>
      <c r="BC25" s="1"/>
      <c r="BD25" s="1"/>
      <c r="BE25" s="57">
        <f t="shared" si="1"/>
        <v>260</v>
      </c>
      <c r="BF25" s="63" t="b">
        <f t="shared" si="2"/>
        <v>1</v>
      </c>
      <c r="BG25" s="116" t="s">
        <v>1513</v>
      </c>
      <c r="BH25" s="102" t="s">
        <v>1513</v>
      </c>
      <c r="BI25" s="102" t="s">
        <v>1513</v>
      </c>
      <c r="BJ25" s="102" t="s">
        <v>1513</v>
      </c>
      <c r="BK25" s="102" t="s">
        <v>1513</v>
      </c>
      <c r="BL25" s="102" t="s">
        <v>1513</v>
      </c>
      <c r="BM25" s="102" t="s">
        <v>1513</v>
      </c>
      <c r="BN25" s="102" t="s">
        <v>1513</v>
      </c>
      <c r="BO25" s="102" t="s">
        <v>1513</v>
      </c>
      <c r="BP25" s="102" t="s">
        <v>1513</v>
      </c>
      <c r="BQ25" s="102" t="s">
        <v>1513</v>
      </c>
      <c r="BR25" s="102" t="s">
        <v>1513</v>
      </c>
      <c r="BS25" s="116">
        <f t="shared" si="3"/>
        <v>7</v>
      </c>
      <c r="BT25" s="117">
        <f t="shared" si="4"/>
        <v>35</v>
      </c>
      <c r="BU25" s="118">
        <f t="shared" si="5"/>
        <v>39</v>
      </c>
      <c r="BV25" s="117">
        <f t="shared" si="6"/>
        <v>70</v>
      </c>
      <c r="BW25" s="118">
        <f t="shared" si="7"/>
        <v>73</v>
      </c>
      <c r="BX25" s="117">
        <f t="shared" si="8"/>
        <v>109</v>
      </c>
      <c r="BY25" s="118">
        <f t="shared" si="9"/>
        <v>118</v>
      </c>
      <c r="BZ25" s="117">
        <f t="shared" si="10"/>
        <v>166</v>
      </c>
      <c r="CA25" s="118">
        <f t="shared" si="11"/>
        <v>173</v>
      </c>
      <c r="CB25" s="117">
        <f t="shared" si="12"/>
        <v>219</v>
      </c>
      <c r="CC25" s="118">
        <f t="shared" si="13"/>
        <v>266</v>
      </c>
      <c r="CD25" s="117">
        <f t="shared" si="14"/>
        <v>292</v>
      </c>
      <c r="CE25" s="116">
        <f t="shared" si="15"/>
        <v>34</v>
      </c>
      <c r="CF25" s="117">
        <f t="shared" si="16"/>
        <v>38</v>
      </c>
      <c r="CG25" s="118">
        <f t="shared" si="17"/>
        <v>69</v>
      </c>
      <c r="CH25" s="118">
        <f t="shared" si="18"/>
        <v>72</v>
      </c>
      <c r="CI25" s="118">
        <f t="shared" si="19"/>
        <v>108</v>
      </c>
      <c r="CJ25" s="118">
        <f t="shared" si="20"/>
        <v>116</v>
      </c>
      <c r="CK25" s="118">
        <f t="shared" si="21"/>
        <v>142</v>
      </c>
      <c r="CL25" s="118">
        <f t="shared" si="22"/>
        <v>168</v>
      </c>
      <c r="CM25" s="118">
        <f t="shared" si="23"/>
        <v>213</v>
      </c>
      <c r="CN25" s="118">
        <f t="shared" si="24"/>
        <v>259</v>
      </c>
      <c r="CO25" s="118">
        <f t="shared" si="25"/>
        <v>291</v>
      </c>
      <c r="CP25" s="118">
        <f t="shared" si="26"/>
        <v>305</v>
      </c>
      <c r="CQ25" s="57">
        <f t="shared" si="27"/>
        <v>1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</row>
    <row r="26" spans="1:1026" x14ac:dyDescent="0.2">
      <c r="A26" s="3" t="str">
        <f t="shared" si="0"/>
        <v>aa2ar_human_3UZC</v>
      </c>
      <c r="B26" s="3" t="s">
        <v>332</v>
      </c>
      <c r="C26" s="3" t="s">
        <v>1242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57">
        <v>35</v>
      </c>
      <c r="J26" s="3" t="str">
        <f>IFERROR(MID(VLOOKUP($B26,Seqs!$A:$B,2,0),K26,1),"")</f>
        <v>Q</v>
      </c>
      <c r="K26" s="57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G</v>
      </c>
      <c r="AC26" s="3">
        <v>118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BA26" s="124" t="str">
        <f>VLOOKUP(B26,Classification!A:D,2,0)</f>
        <v>A</v>
      </c>
      <c r="BC26" s="1"/>
      <c r="BD26" s="1"/>
      <c r="BE26" s="57">
        <f t="shared" si="1"/>
        <v>257</v>
      </c>
      <c r="BF26" s="63" t="b">
        <f t="shared" si="2"/>
        <v>1</v>
      </c>
      <c r="BG26" s="116" t="s">
        <v>1513</v>
      </c>
      <c r="BH26" s="102" t="s">
        <v>1513</v>
      </c>
      <c r="BI26" s="102" t="s">
        <v>1513</v>
      </c>
      <c r="BJ26" s="102" t="s">
        <v>1513</v>
      </c>
      <c r="BK26" s="102" t="s">
        <v>1513</v>
      </c>
      <c r="BL26" s="102" t="s">
        <v>1513</v>
      </c>
      <c r="BM26" s="102" t="s">
        <v>1513</v>
      </c>
      <c r="BN26" s="102" t="s">
        <v>1513</v>
      </c>
      <c r="BO26" s="102" t="s">
        <v>1513</v>
      </c>
      <c r="BP26" s="102" t="s">
        <v>1513</v>
      </c>
      <c r="BQ26" s="102" t="s">
        <v>1513</v>
      </c>
      <c r="BR26" s="102" t="s">
        <v>1513</v>
      </c>
      <c r="BS26" s="116">
        <f t="shared" si="3"/>
        <v>7</v>
      </c>
      <c r="BT26" s="117">
        <f t="shared" si="4"/>
        <v>35</v>
      </c>
      <c r="BU26" s="118">
        <f t="shared" si="5"/>
        <v>39</v>
      </c>
      <c r="BV26" s="117">
        <f t="shared" si="6"/>
        <v>70</v>
      </c>
      <c r="BW26" s="118">
        <f t="shared" si="7"/>
        <v>73</v>
      </c>
      <c r="BX26" s="117">
        <f t="shared" si="8"/>
        <v>109</v>
      </c>
      <c r="BY26" s="118">
        <f t="shared" si="9"/>
        <v>118</v>
      </c>
      <c r="BZ26" s="117">
        <f t="shared" si="10"/>
        <v>166</v>
      </c>
      <c r="CA26" s="118">
        <f t="shared" si="11"/>
        <v>173</v>
      </c>
      <c r="CB26" s="117">
        <f t="shared" si="12"/>
        <v>219</v>
      </c>
      <c r="CC26" s="118">
        <f t="shared" si="13"/>
        <v>266</v>
      </c>
      <c r="CD26" s="117">
        <f t="shared" si="14"/>
        <v>292</v>
      </c>
      <c r="CE26" s="116">
        <f t="shared" si="15"/>
        <v>34</v>
      </c>
      <c r="CF26" s="117">
        <f t="shared" si="16"/>
        <v>38</v>
      </c>
      <c r="CG26" s="118">
        <f t="shared" si="17"/>
        <v>69</v>
      </c>
      <c r="CH26" s="118">
        <f t="shared" si="18"/>
        <v>72</v>
      </c>
      <c r="CI26" s="118">
        <f t="shared" si="19"/>
        <v>108</v>
      </c>
      <c r="CJ26" s="118">
        <f t="shared" si="20"/>
        <v>116</v>
      </c>
      <c r="CK26" s="118">
        <f t="shared" si="21"/>
        <v>142</v>
      </c>
      <c r="CL26" s="118">
        <f t="shared" si="22"/>
        <v>168</v>
      </c>
      <c r="CM26" s="118">
        <f t="shared" si="23"/>
        <v>210</v>
      </c>
      <c r="CN26" s="118">
        <f t="shared" si="24"/>
        <v>259</v>
      </c>
      <c r="CO26" s="118">
        <f t="shared" si="25"/>
        <v>291</v>
      </c>
      <c r="CP26" s="118">
        <f t="shared" si="26"/>
        <v>305</v>
      </c>
      <c r="CQ26" s="57">
        <f t="shared" si="27"/>
        <v>1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</row>
    <row r="27" spans="1:1026" x14ac:dyDescent="0.2">
      <c r="A27" s="3" t="str">
        <f t="shared" si="0"/>
        <v>aa2ar_human_3VG9</v>
      </c>
      <c r="B27" s="3" t="s">
        <v>332</v>
      </c>
      <c r="C27" s="3" t="s">
        <v>1318</v>
      </c>
      <c r="D27" s="3" t="str">
        <f>IFERROR(MID(VLOOKUP($B27,Seqs!$A:$B,2,0),E27,1),"")</f>
        <v>S</v>
      </c>
      <c r="E27" s="3">
        <v>6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57">
        <v>35</v>
      </c>
      <c r="J27" s="3" t="str">
        <f>IFERROR(MID(VLOOKUP($B27,Seqs!$A:$B,2,0),K27,1),"")</f>
        <v>Q</v>
      </c>
      <c r="K27" s="57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G</v>
      </c>
      <c r="AC27" s="3">
        <v>118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Q</v>
      </c>
      <c r="AM27" s="3">
        <v>214</v>
      </c>
      <c r="AN27" s="3" t="str">
        <f>IFERROR(MID(VLOOKUP($B27,Seqs!$A:$B,2,0),AO27,1),"")</f>
        <v>A</v>
      </c>
      <c r="AO27" s="3">
        <v>221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Q</v>
      </c>
      <c r="AY27" s="3">
        <v>311</v>
      </c>
      <c r="BA27" s="124" t="str">
        <f>VLOOKUP(B27,Classification!A:D,2,0)</f>
        <v>A</v>
      </c>
      <c r="BC27" s="1"/>
      <c r="BD27" s="4"/>
      <c r="BE27" s="57">
        <f t="shared" si="1"/>
        <v>266</v>
      </c>
      <c r="BF27" s="63" t="b">
        <f t="shared" si="2"/>
        <v>1</v>
      </c>
      <c r="BG27" s="116" t="s">
        <v>1513</v>
      </c>
      <c r="BH27" s="102" t="s">
        <v>1513</v>
      </c>
      <c r="BI27" s="102" t="s">
        <v>1513</v>
      </c>
      <c r="BJ27" s="102" t="s">
        <v>1513</v>
      </c>
      <c r="BK27" s="102" t="s">
        <v>1513</v>
      </c>
      <c r="BL27" s="102" t="s">
        <v>1513</v>
      </c>
      <c r="BM27" s="102" t="s">
        <v>1513</v>
      </c>
      <c r="BN27" s="102" t="s">
        <v>1513</v>
      </c>
      <c r="BO27" s="102" t="s">
        <v>1513</v>
      </c>
      <c r="BP27" s="102" t="s">
        <v>1513</v>
      </c>
      <c r="BQ27" s="102" t="s">
        <v>1513</v>
      </c>
      <c r="BR27" s="102" t="s">
        <v>1513</v>
      </c>
      <c r="BS27" s="116">
        <f t="shared" si="3"/>
        <v>6</v>
      </c>
      <c r="BT27" s="117">
        <f t="shared" si="4"/>
        <v>35</v>
      </c>
      <c r="BU27" s="118">
        <f t="shared" si="5"/>
        <v>39</v>
      </c>
      <c r="BV27" s="117">
        <f t="shared" si="6"/>
        <v>70</v>
      </c>
      <c r="BW27" s="118">
        <f t="shared" si="7"/>
        <v>73</v>
      </c>
      <c r="BX27" s="117">
        <f t="shared" si="8"/>
        <v>109</v>
      </c>
      <c r="BY27" s="118">
        <f t="shared" si="9"/>
        <v>118</v>
      </c>
      <c r="BZ27" s="117">
        <f t="shared" si="10"/>
        <v>166</v>
      </c>
      <c r="CA27" s="118">
        <f t="shared" si="11"/>
        <v>173</v>
      </c>
      <c r="CB27" s="117">
        <f t="shared" si="12"/>
        <v>221</v>
      </c>
      <c r="CC27" s="118">
        <f t="shared" si="13"/>
        <v>266</v>
      </c>
      <c r="CD27" s="117">
        <f t="shared" si="14"/>
        <v>292</v>
      </c>
      <c r="CE27" s="116">
        <f t="shared" si="15"/>
        <v>34</v>
      </c>
      <c r="CF27" s="117">
        <f t="shared" si="16"/>
        <v>38</v>
      </c>
      <c r="CG27" s="118">
        <f t="shared" si="17"/>
        <v>69</v>
      </c>
      <c r="CH27" s="118">
        <f t="shared" si="18"/>
        <v>72</v>
      </c>
      <c r="CI27" s="118">
        <f t="shared" si="19"/>
        <v>108</v>
      </c>
      <c r="CJ27" s="118">
        <f t="shared" si="20"/>
        <v>116</v>
      </c>
      <c r="CK27" s="118">
        <f t="shared" si="21"/>
        <v>142</v>
      </c>
      <c r="CL27" s="118">
        <f t="shared" si="22"/>
        <v>168</v>
      </c>
      <c r="CM27" s="118">
        <f t="shared" si="23"/>
        <v>214</v>
      </c>
      <c r="CN27" s="118">
        <f t="shared" si="24"/>
        <v>259</v>
      </c>
      <c r="CO27" s="118">
        <f t="shared" si="25"/>
        <v>291</v>
      </c>
      <c r="CP27" s="118">
        <f t="shared" si="26"/>
        <v>311</v>
      </c>
      <c r="CQ27" s="57">
        <f t="shared" si="27"/>
        <v>1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</row>
    <row r="28" spans="1:1026" s="23" customFormat="1" x14ac:dyDescent="0.2">
      <c r="A28" s="3" t="str">
        <f t="shared" si="0"/>
        <v>aa2ar_human_4EIY</v>
      </c>
      <c r="B28" s="3" t="s">
        <v>332</v>
      </c>
      <c r="C28" s="3" t="s">
        <v>271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57">
        <v>35</v>
      </c>
      <c r="J28" s="3" t="str">
        <f>IFERROR(MID(VLOOKUP($B28,Seqs!$A:$B,2,0),K28,1),"")</f>
        <v>Q</v>
      </c>
      <c r="K28" s="57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G</v>
      </c>
      <c r="AC28" s="3">
        <v>118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207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V</v>
      </c>
      <c r="AY28" s="3">
        <v>307</v>
      </c>
      <c r="AZ28" s="90"/>
      <c r="BA28" s="124" t="str">
        <f>VLOOKUP(B28,Classification!A:D,2,0)</f>
        <v>A</v>
      </c>
      <c r="BB28" s="90"/>
      <c r="BC28" s="1"/>
      <c r="BD28" s="5"/>
      <c r="BE28" s="57">
        <f t="shared" si="1"/>
        <v>261</v>
      </c>
      <c r="BF28" s="63" t="b">
        <f t="shared" si="2"/>
        <v>1</v>
      </c>
      <c r="BG28" s="116" t="s">
        <v>1513</v>
      </c>
      <c r="BH28" s="102" t="s">
        <v>1513</v>
      </c>
      <c r="BI28" s="102" t="s">
        <v>1513</v>
      </c>
      <c r="BJ28" s="102" t="s">
        <v>1513</v>
      </c>
      <c r="BK28" s="102" t="s">
        <v>1513</v>
      </c>
      <c r="BL28" s="102" t="s">
        <v>1513</v>
      </c>
      <c r="BM28" s="102" t="s">
        <v>1513</v>
      </c>
      <c r="BN28" s="102" t="s">
        <v>1513</v>
      </c>
      <c r="BO28" s="102" t="s">
        <v>1513</v>
      </c>
      <c r="BP28" s="102" t="s">
        <v>1513</v>
      </c>
      <c r="BQ28" s="102" t="s">
        <v>1513</v>
      </c>
      <c r="BR28" s="102" t="s">
        <v>1513</v>
      </c>
      <c r="BS28" s="116">
        <f t="shared" si="3"/>
        <v>2</v>
      </c>
      <c r="BT28" s="117">
        <f t="shared" si="4"/>
        <v>35</v>
      </c>
      <c r="BU28" s="118">
        <f t="shared" si="5"/>
        <v>39</v>
      </c>
      <c r="BV28" s="117">
        <f t="shared" si="6"/>
        <v>70</v>
      </c>
      <c r="BW28" s="118">
        <f t="shared" si="7"/>
        <v>73</v>
      </c>
      <c r="BX28" s="117">
        <f t="shared" si="8"/>
        <v>109</v>
      </c>
      <c r="BY28" s="118">
        <f t="shared" si="9"/>
        <v>118</v>
      </c>
      <c r="BZ28" s="117">
        <f t="shared" si="10"/>
        <v>166</v>
      </c>
      <c r="CA28" s="118">
        <f t="shared" si="11"/>
        <v>173</v>
      </c>
      <c r="CB28" s="117">
        <f t="shared" si="12"/>
        <v>219</v>
      </c>
      <c r="CC28" s="118">
        <f t="shared" si="13"/>
        <v>266</v>
      </c>
      <c r="CD28" s="117">
        <f t="shared" si="14"/>
        <v>292</v>
      </c>
      <c r="CE28" s="116">
        <f t="shared" si="15"/>
        <v>34</v>
      </c>
      <c r="CF28" s="117">
        <f t="shared" si="16"/>
        <v>38</v>
      </c>
      <c r="CG28" s="118">
        <f t="shared" si="17"/>
        <v>69</v>
      </c>
      <c r="CH28" s="118">
        <f t="shared" si="18"/>
        <v>72</v>
      </c>
      <c r="CI28" s="118">
        <f t="shared" si="19"/>
        <v>108</v>
      </c>
      <c r="CJ28" s="118">
        <f t="shared" si="20"/>
        <v>116</v>
      </c>
      <c r="CK28" s="118">
        <f t="shared" si="21"/>
        <v>142</v>
      </c>
      <c r="CL28" s="118">
        <f t="shared" si="22"/>
        <v>168</v>
      </c>
      <c r="CM28" s="118">
        <f t="shared" si="23"/>
        <v>207</v>
      </c>
      <c r="CN28" s="118">
        <f t="shared" si="24"/>
        <v>259</v>
      </c>
      <c r="CO28" s="118">
        <f t="shared" si="25"/>
        <v>291</v>
      </c>
      <c r="CP28" s="118">
        <f t="shared" si="26"/>
        <v>307</v>
      </c>
      <c r="CQ28" s="57">
        <f t="shared" si="27"/>
        <v>1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</row>
    <row r="29" spans="1:1026" x14ac:dyDescent="0.2">
      <c r="A29" s="3" t="str">
        <f t="shared" si="0"/>
        <v>aa2ar_human_5G53</v>
      </c>
      <c r="B29" s="3" t="s">
        <v>332</v>
      </c>
      <c r="C29" s="3" t="s">
        <v>1518</v>
      </c>
      <c r="D29" s="3" t="str">
        <f>IFERROR(MID(VLOOKUP($B29,Seqs!$A:$B,2,0),E29,1),"")</f>
        <v>S</v>
      </c>
      <c r="E29" s="3">
        <v>6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57">
        <v>35</v>
      </c>
      <c r="J29" s="3" t="str">
        <f>IFERROR(MID(VLOOKUP($B29,Seqs!$A:$B,2,0),K29,1),"")</f>
        <v>Q</v>
      </c>
      <c r="K29" s="57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G</v>
      </c>
      <c r="AC29" s="3">
        <v>118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M</v>
      </c>
      <c r="AM29" s="3">
        <v>211</v>
      </c>
      <c r="AN29" s="3" t="str">
        <f>IFERROR(MID(VLOOKUP($B29,Seqs!$A:$B,2,0),AO29,1),"")</f>
        <v>Q</v>
      </c>
      <c r="AO29" s="3">
        <v>226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Q</v>
      </c>
      <c r="AY29" s="3">
        <v>311</v>
      </c>
      <c r="BA29" s="124" t="str">
        <f>VLOOKUP(B29,Classification!A:D,2,0)</f>
        <v>A</v>
      </c>
      <c r="BC29" s="1"/>
      <c r="BD29" s="1"/>
      <c r="BE29" s="57">
        <f t="shared" si="1"/>
        <v>258</v>
      </c>
      <c r="BF29" s="63" t="b">
        <f t="shared" si="2"/>
        <v>1</v>
      </c>
      <c r="BG29" s="116" t="s">
        <v>1513</v>
      </c>
      <c r="BH29" s="102" t="s">
        <v>1513</v>
      </c>
      <c r="BI29" s="102" t="s">
        <v>1513</v>
      </c>
      <c r="BJ29" s="102" t="s">
        <v>1513</v>
      </c>
      <c r="BK29" s="102" t="s">
        <v>1513</v>
      </c>
      <c r="BL29" s="102" t="s">
        <v>1513</v>
      </c>
      <c r="BM29" s="102" t="s">
        <v>1513</v>
      </c>
      <c r="BN29" s="102" t="s">
        <v>1513</v>
      </c>
      <c r="BO29" s="102" t="s">
        <v>1513</v>
      </c>
      <c r="BP29" s="102" t="s">
        <v>1513</v>
      </c>
      <c r="BQ29" s="102" t="s">
        <v>1513</v>
      </c>
      <c r="BR29" s="102" t="s">
        <v>1513</v>
      </c>
      <c r="BS29" s="116">
        <f t="shared" si="3"/>
        <v>6</v>
      </c>
      <c r="BT29" s="117">
        <f t="shared" si="4"/>
        <v>35</v>
      </c>
      <c r="BU29" s="118">
        <f t="shared" si="5"/>
        <v>39</v>
      </c>
      <c r="BV29" s="117">
        <f t="shared" si="6"/>
        <v>70</v>
      </c>
      <c r="BW29" s="118">
        <f t="shared" si="7"/>
        <v>73</v>
      </c>
      <c r="BX29" s="117">
        <f t="shared" si="8"/>
        <v>109</v>
      </c>
      <c r="BY29" s="118">
        <f t="shared" si="9"/>
        <v>118</v>
      </c>
      <c r="BZ29" s="117">
        <f t="shared" si="10"/>
        <v>166</v>
      </c>
      <c r="CA29" s="118">
        <f t="shared" si="11"/>
        <v>173</v>
      </c>
      <c r="CB29" s="117">
        <f t="shared" si="12"/>
        <v>226</v>
      </c>
      <c r="CC29" s="118">
        <f t="shared" si="13"/>
        <v>266</v>
      </c>
      <c r="CD29" s="117">
        <f t="shared" si="14"/>
        <v>292</v>
      </c>
      <c r="CE29" s="116">
        <f t="shared" si="15"/>
        <v>34</v>
      </c>
      <c r="CF29" s="117">
        <f t="shared" si="16"/>
        <v>38</v>
      </c>
      <c r="CG29" s="118">
        <f t="shared" si="17"/>
        <v>69</v>
      </c>
      <c r="CH29" s="118">
        <f t="shared" si="18"/>
        <v>72</v>
      </c>
      <c r="CI29" s="118">
        <f t="shared" si="19"/>
        <v>108</v>
      </c>
      <c r="CJ29" s="118">
        <f t="shared" si="20"/>
        <v>116</v>
      </c>
      <c r="CK29" s="118">
        <f t="shared" si="21"/>
        <v>142</v>
      </c>
      <c r="CL29" s="118">
        <f t="shared" si="22"/>
        <v>168</v>
      </c>
      <c r="CM29" s="118">
        <f t="shared" si="23"/>
        <v>211</v>
      </c>
      <c r="CN29" s="118">
        <f t="shared" si="24"/>
        <v>259</v>
      </c>
      <c r="CO29" s="118">
        <f t="shared" si="25"/>
        <v>291</v>
      </c>
      <c r="CP29" s="118">
        <f t="shared" si="26"/>
        <v>311</v>
      </c>
      <c r="CQ29" s="57">
        <f t="shared" si="27"/>
        <v>1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</row>
    <row r="30" spans="1:1026" x14ac:dyDescent="0.2">
      <c r="A30" s="3" t="str">
        <f t="shared" si="0"/>
        <v>acm1_human__wt</v>
      </c>
      <c r="B30" s="3" t="s">
        <v>339</v>
      </c>
      <c r="C30" s="3" t="s">
        <v>293</v>
      </c>
      <c r="D30" s="3" t="str">
        <f>IFERROR(MID(VLOOKUP($B30,Seqs!$A:$B,2,0),E30,1),"")</f>
        <v>P</v>
      </c>
      <c r="E30" s="3">
        <v>22</v>
      </c>
      <c r="F30" s="3" t="str">
        <f>IFERROR(MID(VLOOKUP($B30,Seqs!$A:$B,2,0),G30,1),"")</f>
        <v>N</v>
      </c>
      <c r="G30" s="3">
        <v>53</v>
      </c>
      <c r="H30" s="3" t="str">
        <f>IFERROR(MID(VLOOKUP($B30,Seqs!$A:$B,2,0),I30,1),"")</f>
        <v>T</v>
      </c>
      <c r="I30" s="57">
        <v>54</v>
      </c>
      <c r="J30" s="3" t="str">
        <f>IFERROR(MID(VLOOKUP($B30,Seqs!$A:$B,2,0),K30,1),"")</f>
        <v>K</v>
      </c>
      <c r="K30" s="57">
        <v>57</v>
      </c>
      <c r="L30" s="3" t="str">
        <f>IFERROR(MID(VLOOKUP($B30,Seqs!$A:$B,2,0),M30,1),"")</f>
        <v>T</v>
      </c>
      <c r="M30" s="3">
        <v>58</v>
      </c>
      <c r="N30" s="3" t="str">
        <f>IFERROR(MID(VLOOKUP($B30,Seqs!$A:$B,2,0),O30,1),"")</f>
        <v>M</v>
      </c>
      <c r="O30" s="3">
        <v>88</v>
      </c>
      <c r="P30" s="3" t="str">
        <f>IFERROR(MID(VLOOKUP($B30,Seqs!$A:$B,2,0),Q30,1),"")</f>
        <v>H</v>
      </c>
      <c r="Q30" s="3">
        <v>90</v>
      </c>
      <c r="R30" s="3" t="str">
        <f>IFERROR(MID(VLOOKUP($B30,Seqs!$A:$B,2,0),S30,1),"")</f>
        <v>L</v>
      </c>
      <c r="S30" s="3">
        <v>93</v>
      </c>
      <c r="T30" s="3" t="str">
        <f>IFERROR(MID(VLOOKUP($B30,Seqs!$A:$B,2,0),U30,1),"")</f>
        <v>G</v>
      </c>
      <c r="U30" s="3">
        <v>94</v>
      </c>
      <c r="V30" s="3" t="str">
        <f>IFERROR(MID(VLOOKUP($B30,Seqs!$A:$B,2,0),W30,1),"")</f>
        <v>R</v>
      </c>
      <c r="W30" s="3">
        <v>129</v>
      </c>
      <c r="X30" s="3" t="str">
        <f>IFERROR(MID(VLOOKUP($B30,Seqs!$A:$B,2,0),Y30,1),"")</f>
        <v>P</v>
      </c>
      <c r="Y30" s="3">
        <v>130</v>
      </c>
      <c r="Z30" s="3" t="str">
        <f>IFERROR(MID(VLOOKUP($B30,Seqs!$A:$B,2,0),AA30,1),"")</f>
        <v>R</v>
      </c>
      <c r="AA30" s="3">
        <v>137</v>
      </c>
      <c r="AB30" s="3" t="str">
        <f>IFERROR(MID(VLOOKUP($B30,Seqs!$A:$B,2,0),AC30,1),"")</f>
        <v>P</v>
      </c>
      <c r="AC30" s="3">
        <v>139</v>
      </c>
      <c r="AD30" s="3" t="str">
        <f>IFERROR(MID(VLOOKUP($B30,Seqs!$A:$B,2,0),AE30,1),"")</f>
        <v>G</v>
      </c>
      <c r="AE30" s="3">
        <v>169</v>
      </c>
      <c r="AF30" s="3" t="str">
        <f>IFERROR(MID(VLOOKUP($B30,Seqs!$A:$B,2,0),AG30,1),"")</f>
        <v>C</v>
      </c>
      <c r="AG30" s="3">
        <v>178</v>
      </c>
      <c r="AH30" s="3" t="str">
        <f>IFERROR(MID(VLOOKUP($B30,Seqs!$A:$B,2,0),AI30,1),"")</f>
        <v>I</v>
      </c>
      <c r="AI30" s="3">
        <v>180</v>
      </c>
      <c r="AJ30" s="3" t="str">
        <f>IFERROR(MID(VLOOKUP($B30,Seqs!$A:$B,2,0),AK30,1),"")</f>
        <v>Q</v>
      </c>
      <c r="AK30" s="3">
        <v>185</v>
      </c>
      <c r="AL30" s="3" t="str">
        <f>IFERROR(MID(VLOOKUP($B30,Seqs!$A:$B,2,0),AM30,1),"")</f>
        <v>L</v>
      </c>
      <c r="AM30" s="3">
        <v>225</v>
      </c>
      <c r="AN30" s="3" t="str">
        <f>IFERROR(MID(VLOOKUP($B30,Seqs!$A:$B,2,0),AO30,1),"")</f>
        <v>T</v>
      </c>
      <c r="AO30" s="3">
        <v>354</v>
      </c>
      <c r="AP30" s="3" t="str">
        <f>IFERROR(MID(VLOOKUP($B30,Seqs!$A:$B,2,0),AQ30,1),"")</f>
        <v>C</v>
      </c>
      <c r="AQ30" s="3">
        <v>391</v>
      </c>
      <c r="AR30" s="3" t="str">
        <f>IFERROR(MID(VLOOKUP($B30,Seqs!$A:$B,2,0),AS30,1),"")</f>
        <v>P</v>
      </c>
      <c r="AS30" s="3">
        <v>396</v>
      </c>
      <c r="AT30" s="3" t="str">
        <f>IFERROR(MID(VLOOKUP($B30,Seqs!$A:$B,2,0),AU30,1),"")</f>
        <v>C</v>
      </c>
      <c r="AU30" s="3">
        <v>421</v>
      </c>
      <c r="AV30" s="3" t="str">
        <f>IFERROR(MID(VLOOKUP($B30,Seqs!$A:$B,2,0),AW30,1),"")</f>
        <v>N</v>
      </c>
      <c r="AW30" s="3">
        <v>422</v>
      </c>
      <c r="AX30" s="3" t="str">
        <f>IFERROR(MID(VLOOKUP($B30,Seqs!$A:$B,2,0),AY30,1),"")</f>
        <v>L</v>
      </c>
      <c r="AY30" s="3">
        <v>434</v>
      </c>
      <c r="BA30" s="124" t="str">
        <f>VLOOKUP(B30,Classification!A:D,2,0)</f>
        <v>A</v>
      </c>
      <c r="BC30" s="1"/>
      <c r="BD30" s="72">
        <f>S30-Q30+1</f>
        <v>4</v>
      </c>
      <c r="BE30" s="57">
        <f t="shared" si="1"/>
        <v>267</v>
      </c>
      <c r="BF30" s="63" t="b">
        <f t="shared" si="2"/>
        <v>1</v>
      </c>
      <c r="BG30" s="116" t="s">
        <v>1513</v>
      </c>
      <c r="BH30" s="102" t="s">
        <v>1513</v>
      </c>
      <c r="BI30" s="102" t="s">
        <v>1513</v>
      </c>
      <c r="BJ30" s="102" t="s">
        <v>1513</v>
      </c>
      <c r="BK30" s="102" t="s">
        <v>1513</v>
      </c>
      <c r="BL30" s="102" t="s">
        <v>1513</v>
      </c>
      <c r="BM30" s="102" t="s">
        <v>1513</v>
      </c>
      <c r="BN30" s="102" t="s">
        <v>1513</v>
      </c>
      <c r="BO30" s="102" t="s">
        <v>1513</v>
      </c>
      <c r="BP30" s="102" t="s">
        <v>1513</v>
      </c>
      <c r="BQ30" s="102" t="s">
        <v>1513</v>
      </c>
      <c r="BR30" s="102" t="s">
        <v>1513</v>
      </c>
      <c r="BS30" s="116">
        <f t="shared" si="3"/>
        <v>22</v>
      </c>
      <c r="BT30" s="117">
        <f t="shared" si="4"/>
        <v>54</v>
      </c>
      <c r="BU30" s="118">
        <f t="shared" si="5"/>
        <v>58</v>
      </c>
      <c r="BV30" s="117">
        <f t="shared" si="6"/>
        <v>90</v>
      </c>
      <c r="BW30" s="118">
        <f t="shared" si="7"/>
        <v>94</v>
      </c>
      <c r="BX30" s="117">
        <f t="shared" si="8"/>
        <v>130</v>
      </c>
      <c r="BY30" s="118">
        <f t="shared" si="9"/>
        <v>139</v>
      </c>
      <c r="BZ30" s="117">
        <f t="shared" si="10"/>
        <v>178</v>
      </c>
      <c r="CA30" s="118">
        <f t="shared" si="11"/>
        <v>185</v>
      </c>
      <c r="CB30" s="117">
        <f t="shared" si="12"/>
        <v>354</v>
      </c>
      <c r="CC30" s="118">
        <f t="shared" si="13"/>
        <v>396</v>
      </c>
      <c r="CD30" s="117">
        <f t="shared" si="14"/>
        <v>422</v>
      </c>
      <c r="CE30" s="116">
        <f t="shared" si="15"/>
        <v>53</v>
      </c>
      <c r="CF30" s="117">
        <f t="shared" si="16"/>
        <v>57</v>
      </c>
      <c r="CG30" s="118">
        <f t="shared" si="17"/>
        <v>88</v>
      </c>
      <c r="CH30" s="118">
        <f t="shared" si="18"/>
        <v>93</v>
      </c>
      <c r="CI30" s="118">
        <f t="shared" si="19"/>
        <v>129</v>
      </c>
      <c r="CJ30" s="118">
        <f t="shared" si="20"/>
        <v>137</v>
      </c>
      <c r="CK30" s="118">
        <f t="shared" si="21"/>
        <v>169</v>
      </c>
      <c r="CL30" s="118">
        <f t="shared" si="22"/>
        <v>180</v>
      </c>
      <c r="CM30" s="118">
        <f t="shared" si="23"/>
        <v>225</v>
      </c>
      <c r="CN30" s="118">
        <f t="shared" si="24"/>
        <v>391</v>
      </c>
      <c r="CO30" s="118">
        <f t="shared" si="25"/>
        <v>421</v>
      </c>
      <c r="CP30" s="118">
        <f t="shared" si="26"/>
        <v>434</v>
      </c>
      <c r="CQ30" s="57">
        <f t="shared" si="27"/>
        <v>1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</row>
    <row r="31" spans="1:1026" x14ac:dyDescent="0.2">
      <c r="A31" s="3" t="str">
        <f t="shared" si="0"/>
        <v>acm1_human_5CXV</v>
      </c>
      <c r="B31" s="3" t="s">
        <v>339</v>
      </c>
      <c r="C31" s="3" t="s">
        <v>252</v>
      </c>
      <c r="D31" s="3" t="str">
        <f>IFERROR(MID(VLOOKUP($B31,Seqs!$A:$B,2,0),E31,1),"")</f>
        <v>P</v>
      </c>
      <c r="E31" s="3">
        <v>22</v>
      </c>
      <c r="F31" s="3" t="str">
        <f>IFERROR(MID(VLOOKUP($B31,Seqs!$A:$B,2,0),G31,1),"")</f>
        <v>N</v>
      </c>
      <c r="G31" s="3">
        <v>53</v>
      </c>
      <c r="H31" s="3" t="str">
        <f>IFERROR(MID(VLOOKUP($B31,Seqs!$A:$B,2,0),I31,1),"")</f>
        <v>T</v>
      </c>
      <c r="I31" s="57">
        <v>54</v>
      </c>
      <c r="J31" s="3" t="str">
        <f>IFERROR(MID(VLOOKUP($B31,Seqs!$A:$B,2,0),K31,1),"")</f>
        <v>K</v>
      </c>
      <c r="K31" s="57">
        <v>57</v>
      </c>
      <c r="L31" s="3" t="str">
        <f>IFERROR(MID(VLOOKUP($B31,Seqs!$A:$B,2,0),M31,1),"")</f>
        <v>T</v>
      </c>
      <c r="M31" s="3">
        <v>58</v>
      </c>
      <c r="N31" s="3" t="str">
        <f>IFERROR(MID(VLOOKUP($B31,Seqs!$A:$B,2,0),O31,1),"")</f>
        <v>M</v>
      </c>
      <c r="O31" s="3">
        <v>88</v>
      </c>
      <c r="P31" s="3" t="str">
        <f>IFERROR(MID(VLOOKUP($B31,Seqs!$A:$B,2,0),Q31,1),"")</f>
        <v>H</v>
      </c>
      <c r="Q31" s="3">
        <v>90</v>
      </c>
      <c r="R31" s="3" t="str">
        <f>IFERROR(MID(VLOOKUP($B31,Seqs!$A:$B,2,0),S31,1),"")</f>
        <v>L</v>
      </c>
      <c r="S31" s="3">
        <v>93</v>
      </c>
      <c r="T31" s="3" t="str">
        <f>IFERROR(MID(VLOOKUP($B31,Seqs!$A:$B,2,0),U31,1),"")</f>
        <v>G</v>
      </c>
      <c r="U31" s="3">
        <v>94</v>
      </c>
      <c r="V31" s="3" t="str">
        <f>IFERROR(MID(VLOOKUP($B31,Seqs!$A:$B,2,0),W31,1),"")</f>
        <v>R</v>
      </c>
      <c r="W31" s="3">
        <v>129</v>
      </c>
      <c r="X31" s="3" t="str">
        <f>IFERROR(MID(VLOOKUP($B31,Seqs!$A:$B,2,0),Y31,1),"")</f>
        <v>P</v>
      </c>
      <c r="Y31" s="3">
        <v>130</v>
      </c>
      <c r="Z31" s="3" t="str">
        <f>IFERROR(MID(VLOOKUP($B31,Seqs!$A:$B,2,0),AA31,1),"")</f>
        <v>R</v>
      </c>
      <c r="AA31" s="3">
        <v>137</v>
      </c>
      <c r="AB31" s="3" t="str">
        <f>IFERROR(MID(VLOOKUP($B31,Seqs!$A:$B,2,0),AC31,1),"")</f>
        <v>P</v>
      </c>
      <c r="AC31" s="3">
        <v>139</v>
      </c>
      <c r="AD31" s="3" t="str">
        <f>IFERROR(MID(VLOOKUP($B31,Seqs!$A:$B,2,0),AE31,1),"")</f>
        <v>G</v>
      </c>
      <c r="AE31" s="3">
        <v>169</v>
      </c>
      <c r="AF31" s="3" t="str">
        <f>IFERROR(MID(VLOOKUP($B31,Seqs!$A:$B,2,0),AG31,1),"")</f>
        <v>C</v>
      </c>
      <c r="AG31" s="3">
        <v>178</v>
      </c>
      <c r="AH31" s="3" t="str">
        <f>IFERROR(MID(VLOOKUP($B31,Seqs!$A:$B,2,0),AI31,1),"")</f>
        <v>I</v>
      </c>
      <c r="AI31" s="3">
        <v>180</v>
      </c>
      <c r="AJ31" s="3" t="str">
        <f>IFERROR(MID(VLOOKUP($B31,Seqs!$A:$B,2,0),AK31,1),"")</f>
        <v>Q</v>
      </c>
      <c r="AK31" s="3">
        <v>185</v>
      </c>
      <c r="AL31" s="3" t="str">
        <f>IFERROR(MID(VLOOKUP($B31,Seqs!$A:$B,2,0),AM31,1),"")</f>
        <v>R</v>
      </c>
      <c r="AM31" s="3">
        <v>213</v>
      </c>
      <c r="AN31" s="3" t="str">
        <f>IFERROR(MID(VLOOKUP($B31,Seqs!$A:$B,2,0),AO31,1),"")</f>
        <v>L</v>
      </c>
      <c r="AO31" s="3">
        <v>357</v>
      </c>
      <c r="AP31" s="3" t="str">
        <f>IFERROR(MID(VLOOKUP($B31,Seqs!$A:$B,2,0),AQ31,1),"")</f>
        <v>C</v>
      </c>
      <c r="AQ31" s="3">
        <v>391</v>
      </c>
      <c r="AR31" s="3" t="str">
        <f>IFERROR(MID(VLOOKUP($B31,Seqs!$A:$B,2,0),AS31,1),"")</f>
        <v>P</v>
      </c>
      <c r="AS31" s="3">
        <v>396</v>
      </c>
      <c r="AT31" s="3" t="str">
        <f>IFERROR(MID(VLOOKUP($B31,Seqs!$A:$B,2,0),AU31,1),"")</f>
        <v>C</v>
      </c>
      <c r="AU31" s="3">
        <v>421</v>
      </c>
      <c r="AV31" s="3" t="str">
        <f>IFERROR(MID(VLOOKUP($B31,Seqs!$A:$B,2,0),AW31,1),"")</f>
        <v>N</v>
      </c>
      <c r="AW31" s="3">
        <v>422</v>
      </c>
      <c r="AX31" s="3" t="str">
        <f>IFERROR(MID(VLOOKUP($B31,Seqs!$A:$B,2,0),AY31,1),"")</f>
        <v>L</v>
      </c>
      <c r="AY31" s="3">
        <v>434</v>
      </c>
      <c r="BA31" s="124" t="str">
        <f>VLOOKUP(B31,Classification!A:D,2,0)</f>
        <v>A</v>
      </c>
      <c r="BC31" s="1"/>
      <c r="BD31" s="1"/>
      <c r="BE31" s="57">
        <f t="shared" si="1"/>
        <v>252</v>
      </c>
      <c r="BF31" s="63" t="b">
        <f t="shared" si="2"/>
        <v>1</v>
      </c>
      <c r="BG31" s="116" t="s">
        <v>1513</v>
      </c>
      <c r="BH31" s="102" t="s">
        <v>1513</v>
      </c>
      <c r="BI31" s="102" t="s">
        <v>1513</v>
      </c>
      <c r="BJ31" s="102" t="s">
        <v>1513</v>
      </c>
      <c r="BK31" s="102" t="s">
        <v>1513</v>
      </c>
      <c r="BL31" s="102" t="s">
        <v>1513</v>
      </c>
      <c r="BM31" s="102" t="s">
        <v>1513</v>
      </c>
      <c r="BN31" s="102" t="s">
        <v>1513</v>
      </c>
      <c r="BO31" s="102" t="s">
        <v>1513</v>
      </c>
      <c r="BP31" s="102" t="s">
        <v>1513</v>
      </c>
      <c r="BQ31" s="102" t="s">
        <v>1513</v>
      </c>
      <c r="BR31" s="102" t="s">
        <v>1513</v>
      </c>
      <c r="BS31" s="116">
        <f t="shared" si="3"/>
        <v>22</v>
      </c>
      <c r="BT31" s="117">
        <f t="shared" si="4"/>
        <v>54</v>
      </c>
      <c r="BU31" s="118">
        <f t="shared" si="5"/>
        <v>58</v>
      </c>
      <c r="BV31" s="117">
        <f t="shared" si="6"/>
        <v>90</v>
      </c>
      <c r="BW31" s="118">
        <f t="shared" si="7"/>
        <v>94</v>
      </c>
      <c r="BX31" s="117">
        <f t="shared" si="8"/>
        <v>130</v>
      </c>
      <c r="BY31" s="118">
        <f t="shared" si="9"/>
        <v>139</v>
      </c>
      <c r="BZ31" s="117">
        <f t="shared" si="10"/>
        <v>178</v>
      </c>
      <c r="CA31" s="118">
        <f t="shared" si="11"/>
        <v>185</v>
      </c>
      <c r="CB31" s="117">
        <f t="shared" si="12"/>
        <v>357</v>
      </c>
      <c r="CC31" s="118">
        <f t="shared" si="13"/>
        <v>396</v>
      </c>
      <c r="CD31" s="117">
        <f t="shared" si="14"/>
        <v>422</v>
      </c>
      <c r="CE31" s="116">
        <f t="shared" si="15"/>
        <v>53</v>
      </c>
      <c r="CF31" s="117">
        <f t="shared" si="16"/>
        <v>57</v>
      </c>
      <c r="CG31" s="118">
        <f t="shared" si="17"/>
        <v>88</v>
      </c>
      <c r="CH31" s="118">
        <f t="shared" si="18"/>
        <v>93</v>
      </c>
      <c r="CI31" s="118">
        <f t="shared" si="19"/>
        <v>129</v>
      </c>
      <c r="CJ31" s="118">
        <f t="shared" si="20"/>
        <v>137</v>
      </c>
      <c r="CK31" s="118">
        <f t="shared" si="21"/>
        <v>169</v>
      </c>
      <c r="CL31" s="118">
        <f t="shared" si="22"/>
        <v>180</v>
      </c>
      <c r="CM31" s="118">
        <f t="shared" si="23"/>
        <v>213</v>
      </c>
      <c r="CN31" s="118">
        <f t="shared" si="24"/>
        <v>391</v>
      </c>
      <c r="CO31" s="118">
        <f t="shared" si="25"/>
        <v>421</v>
      </c>
      <c r="CP31" s="118">
        <f t="shared" si="26"/>
        <v>434</v>
      </c>
      <c r="CQ31" s="57">
        <f t="shared" si="27"/>
        <v>1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</row>
    <row r="32" spans="1:1026" x14ac:dyDescent="0.2">
      <c r="A32" s="3" t="str">
        <f t="shared" si="0"/>
        <v>acm2_human__wt</v>
      </c>
      <c r="B32" s="3" t="s">
        <v>340</v>
      </c>
      <c r="C32" s="3" t="s">
        <v>293</v>
      </c>
      <c r="D32" s="3" t="str">
        <f>IFERROR(MID(VLOOKUP($B32,Seqs!$A:$B,2,0),E32,1),"")</f>
        <v>K</v>
      </c>
      <c r="E32" s="3">
        <v>19</v>
      </c>
      <c r="F32" s="3" t="str">
        <f>IFERROR(MID(VLOOKUP($B32,Seqs!$A:$B,2,0),G32,1),"")</f>
        <v>N</v>
      </c>
      <c r="G32" s="3">
        <v>51</v>
      </c>
      <c r="H32" s="3" t="str">
        <f>IFERROR(MID(VLOOKUP($B32,Seqs!$A:$B,2,0),I32,1),"")</f>
        <v>R</v>
      </c>
      <c r="I32" s="57">
        <v>52</v>
      </c>
      <c r="J32" s="3" t="str">
        <f>IFERROR(MID(VLOOKUP($B32,Seqs!$A:$B,2,0),K32,1),"")</f>
        <v>Q</v>
      </c>
      <c r="K32" s="57">
        <v>55</v>
      </c>
      <c r="L32" s="3" t="str">
        <f>IFERROR(MID(VLOOKUP($B32,Seqs!$A:$B,2,0),M32,1),"")</f>
        <v>T</v>
      </c>
      <c r="M32" s="3">
        <v>56</v>
      </c>
      <c r="N32" s="3" t="str">
        <f>IFERROR(MID(VLOOKUP($B32,Seqs!$A:$B,2,0),O32,1),"")</f>
        <v>I</v>
      </c>
      <c r="O32" s="3">
        <v>86</v>
      </c>
      <c r="P32" s="3" t="str">
        <f>IFERROR(MID(VLOOKUP($B32,Seqs!$A:$B,2,0),Q32,1),"")</f>
        <v>Y</v>
      </c>
      <c r="Q32" s="3">
        <v>88</v>
      </c>
      <c r="R32" s="3" t="str">
        <f>IFERROR(MID(VLOOKUP($B32,Seqs!$A:$B,2,0),S32,1),"")</f>
        <v>L</v>
      </c>
      <c r="S32" s="3">
        <v>91</v>
      </c>
      <c r="T32" s="3" t="str">
        <f>IFERROR(MID(VLOOKUP($B32,Seqs!$A:$B,2,0),U32,1),"")</f>
        <v>G</v>
      </c>
      <c r="U32" s="3">
        <v>92</v>
      </c>
      <c r="V32" s="3" t="str">
        <f>IFERROR(MID(VLOOKUP($B32,Seqs!$A:$B,2,0),W32,1),"")</f>
        <v>K</v>
      </c>
      <c r="W32" s="3">
        <v>127</v>
      </c>
      <c r="X32" s="3" t="str">
        <f>IFERROR(MID(VLOOKUP($B32,Seqs!$A:$B,2,0),Y32,1),"")</f>
        <v>P</v>
      </c>
      <c r="Y32" s="3">
        <v>128</v>
      </c>
      <c r="Z32" s="3" t="str">
        <f>IFERROR(MID(VLOOKUP($B32,Seqs!$A:$B,2,0),AA32,1),"")</f>
        <v>R</v>
      </c>
      <c r="AA32" s="3">
        <v>135</v>
      </c>
      <c r="AB32" s="3" t="str">
        <f>IFERROR(MID(VLOOKUP($B32,Seqs!$A:$B,2,0),AC32,1),"")</f>
        <v>T</v>
      </c>
      <c r="AC32" s="3">
        <v>137</v>
      </c>
      <c r="AD32" s="3" t="str">
        <f>IFERROR(MID(VLOOKUP($B32,Seqs!$A:$B,2,0),AE32,1),"")</f>
        <v>G</v>
      </c>
      <c r="AE32" s="3">
        <v>167</v>
      </c>
      <c r="AF32" s="3" t="str">
        <f>IFERROR(MID(VLOOKUP($B32,Seqs!$A:$B,2,0),AG32,1),"")</f>
        <v>C</v>
      </c>
      <c r="AG32" s="3">
        <v>176</v>
      </c>
      <c r="AH32" s="3" t="str">
        <f>IFERROR(MID(VLOOKUP($B32,Seqs!$A:$B,2,0),AI32,1),"")</f>
        <v>I</v>
      </c>
      <c r="AI32" s="3">
        <v>178</v>
      </c>
      <c r="AJ32" s="3" t="str">
        <f>IFERROR(MID(VLOOKUP($B32,Seqs!$A:$B,2,0),AK32,1),"")</f>
        <v>N</v>
      </c>
      <c r="AK32" s="3">
        <v>183</v>
      </c>
      <c r="AL32" s="3" t="str">
        <f>IFERROR(MID(VLOOKUP($B32,Seqs!$A:$B,2,0),AM32,1),"")</f>
        <v>E</v>
      </c>
      <c r="AM32" s="3">
        <v>223</v>
      </c>
      <c r="AN32" s="3" t="str">
        <f>IFERROR(MID(VLOOKUP($B32,Seqs!$A:$B,2,0),AO32,1),"")</f>
        <v>K</v>
      </c>
      <c r="AO32" s="3">
        <v>376</v>
      </c>
      <c r="AP32" s="3" t="str">
        <f>IFERROR(MID(VLOOKUP($B32,Seqs!$A:$B,2,0),AQ32,1),"")</f>
        <v>C</v>
      </c>
      <c r="AQ32" s="3">
        <v>413</v>
      </c>
      <c r="AR32" s="3" t="str">
        <f>IFERROR(MID(VLOOKUP($B32,Seqs!$A:$B,2,0),AS32,1),"")</f>
        <v>P</v>
      </c>
      <c r="AS32" s="3">
        <v>418</v>
      </c>
      <c r="AT32" s="3" t="str">
        <f>IFERROR(MID(VLOOKUP($B32,Seqs!$A:$B,2,0),AU32,1),"")</f>
        <v>C</v>
      </c>
      <c r="AU32" s="3">
        <v>443</v>
      </c>
      <c r="AV32" s="3" t="str">
        <f>IFERROR(MID(VLOOKUP($B32,Seqs!$A:$B,2,0),AW32,1),"")</f>
        <v>N</v>
      </c>
      <c r="AW32" s="3">
        <v>444</v>
      </c>
      <c r="AX32" s="3" t="str">
        <f>IFERROR(MID(VLOOKUP($B32,Seqs!$A:$B,2,0),AY32,1),"")</f>
        <v>M</v>
      </c>
      <c r="AY32" s="3">
        <v>456</v>
      </c>
      <c r="BA32" s="124" t="str">
        <f>VLOOKUP(B32,Classification!A:D,2,0)</f>
        <v>A</v>
      </c>
      <c r="BC32" s="1"/>
      <c r="BD32" s="72">
        <f>S32-Q32+1</f>
        <v>4</v>
      </c>
      <c r="BE32" s="57">
        <f t="shared" si="1"/>
        <v>268</v>
      </c>
      <c r="BF32" s="63" t="b">
        <f t="shared" si="2"/>
        <v>1</v>
      </c>
      <c r="BG32" s="116" t="s">
        <v>1513</v>
      </c>
      <c r="BH32" s="102" t="s">
        <v>1513</v>
      </c>
      <c r="BI32" s="102" t="s">
        <v>1513</v>
      </c>
      <c r="BJ32" s="102" t="s">
        <v>1513</v>
      </c>
      <c r="BK32" s="102" t="s">
        <v>1513</v>
      </c>
      <c r="BL32" s="102" t="s">
        <v>1513</v>
      </c>
      <c r="BM32" s="102" t="s">
        <v>1513</v>
      </c>
      <c r="BN32" s="102" t="s">
        <v>1513</v>
      </c>
      <c r="BO32" s="102" t="s">
        <v>1513</v>
      </c>
      <c r="BP32" s="102" t="s">
        <v>1513</v>
      </c>
      <c r="BQ32" s="102" t="s">
        <v>1513</v>
      </c>
      <c r="BR32" s="102" t="s">
        <v>1513</v>
      </c>
      <c r="BS32" s="116">
        <f t="shared" si="3"/>
        <v>19</v>
      </c>
      <c r="BT32" s="117">
        <f t="shared" si="4"/>
        <v>52</v>
      </c>
      <c r="BU32" s="118">
        <f t="shared" si="5"/>
        <v>56</v>
      </c>
      <c r="BV32" s="117">
        <f t="shared" si="6"/>
        <v>88</v>
      </c>
      <c r="BW32" s="118">
        <f t="shared" si="7"/>
        <v>92</v>
      </c>
      <c r="BX32" s="117">
        <f t="shared" si="8"/>
        <v>128</v>
      </c>
      <c r="BY32" s="118">
        <f t="shared" si="9"/>
        <v>137</v>
      </c>
      <c r="BZ32" s="117">
        <f t="shared" si="10"/>
        <v>176</v>
      </c>
      <c r="CA32" s="118">
        <f t="shared" si="11"/>
        <v>183</v>
      </c>
      <c r="CB32" s="117">
        <f t="shared" si="12"/>
        <v>376</v>
      </c>
      <c r="CC32" s="118">
        <f t="shared" si="13"/>
        <v>418</v>
      </c>
      <c r="CD32" s="117">
        <f t="shared" si="14"/>
        <v>444</v>
      </c>
      <c r="CE32" s="116">
        <f t="shared" si="15"/>
        <v>51</v>
      </c>
      <c r="CF32" s="117">
        <f t="shared" si="16"/>
        <v>55</v>
      </c>
      <c r="CG32" s="118">
        <f t="shared" si="17"/>
        <v>86</v>
      </c>
      <c r="CH32" s="118">
        <f t="shared" si="18"/>
        <v>91</v>
      </c>
      <c r="CI32" s="118">
        <f t="shared" si="19"/>
        <v>127</v>
      </c>
      <c r="CJ32" s="118">
        <f t="shared" si="20"/>
        <v>135</v>
      </c>
      <c r="CK32" s="118">
        <f t="shared" si="21"/>
        <v>167</v>
      </c>
      <c r="CL32" s="118">
        <f t="shared" si="22"/>
        <v>178</v>
      </c>
      <c r="CM32" s="118">
        <f t="shared" si="23"/>
        <v>223</v>
      </c>
      <c r="CN32" s="118">
        <f t="shared" si="24"/>
        <v>413</v>
      </c>
      <c r="CO32" s="118">
        <f t="shared" si="25"/>
        <v>443</v>
      </c>
      <c r="CP32" s="118">
        <f t="shared" si="26"/>
        <v>456</v>
      </c>
      <c r="CQ32" s="57">
        <f t="shared" si="27"/>
        <v>1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</row>
    <row r="33" spans="1:1026" x14ac:dyDescent="0.2">
      <c r="A33" s="3" t="str">
        <f t="shared" si="0"/>
        <v>acm2_human_3UON</v>
      </c>
      <c r="B33" s="3" t="s">
        <v>340</v>
      </c>
      <c r="C33" s="3" t="s">
        <v>269</v>
      </c>
      <c r="D33" s="3" t="str">
        <f>IFERROR(MID(VLOOKUP($B33,Seqs!$A:$B,2,0),E33,1),"")</f>
        <v>V</v>
      </c>
      <c r="E33" s="3">
        <v>23</v>
      </c>
      <c r="F33" s="3" t="str">
        <f>IFERROR(MID(VLOOKUP($B33,Seqs!$A:$B,2,0),G33,1),"")</f>
        <v>N</v>
      </c>
      <c r="G33" s="3">
        <v>51</v>
      </c>
      <c r="H33" s="3" t="str">
        <f>IFERROR(MID(VLOOKUP($B33,Seqs!$A:$B,2,0),I33,1),"")</f>
        <v>R</v>
      </c>
      <c r="I33" s="57">
        <v>52</v>
      </c>
      <c r="J33" s="3" t="str">
        <f>IFERROR(MID(VLOOKUP($B33,Seqs!$A:$B,2,0),K33,1),"")</f>
        <v>Q</v>
      </c>
      <c r="K33" s="57">
        <v>55</v>
      </c>
      <c r="L33" s="3" t="str">
        <f>IFERROR(MID(VLOOKUP($B33,Seqs!$A:$B,2,0),M33,1),"")</f>
        <v>T</v>
      </c>
      <c r="M33" s="3">
        <v>56</v>
      </c>
      <c r="N33" s="3" t="str">
        <f>IFERROR(MID(VLOOKUP($B33,Seqs!$A:$B,2,0),O33,1),"")</f>
        <v>I</v>
      </c>
      <c r="O33" s="3">
        <v>86</v>
      </c>
      <c r="P33" s="3" t="str">
        <f>IFERROR(MID(VLOOKUP($B33,Seqs!$A:$B,2,0),Q33,1),"")</f>
        <v>Y</v>
      </c>
      <c r="Q33" s="3">
        <v>88</v>
      </c>
      <c r="R33" s="3" t="str">
        <f>IFERROR(MID(VLOOKUP($B33,Seqs!$A:$B,2,0),S33,1),"")</f>
        <v>L</v>
      </c>
      <c r="S33" s="3">
        <v>91</v>
      </c>
      <c r="T33" s="3" t="str">
        <f>IFERROR(MID(VLOOKUP($B33,Seqs!$A:$B,2,0),U33,1),"")</f>
        <v>G</v>
      </c>
      <c r="U33" s="3">
        <v>92</v>
      </c>
      <c r="V33" s="3" t="str">
        <f>IFERROR(MID(VLOOKUP($B33,Seqs!$A:$B,2,0),W33,1),"")</f>
        <v>K</v>
      </c>
      <c r="W33" s="3">
        <v>127</v>
      </c>
      <c r="X33" s="3" t="str">
        <f>IFERROR(MID(VLOOKUP($B33,Seqs!$A:$B,2,0),Y33,1),"")</f>
        <v>P</v>
      </c>
      <c r="Y33" s="3">
        <v>128</v>
      </c>
      <c r="Z33" s="3" t="str">
        <f>IFERROR(MID(VLOOKUP($B33,Seqs!$A:$B,2,0),AA33,1),"")</f>
        <v>R</v>
      </c>
      <c r="AA33" s="3">
        <v>135</v>
      </c>
      <c r="AB33" s="3" t="str">
        <f>IFERROR(MID(VLOOKUP($B33,Seqs!$A:$B,2,0),AC33,1),"")</f>
        <v>T</v>
      </c>
      <c r="AC33" s="3">
        <v>137</v>
      </c>
      <c r="AD33" s="3" t="str">
        <f>IFERROR(MID(VLOOKUP($B33,Seqs!$A:$B,2,0),AE33,1),"")</f>
        <v>G</v>
      </c>
      <c r="AE33" s="3">
        <v>167</v>
      </c>
      <c r="AF33" s="3" t="str">
        <f>IFERROR(MID(VLOOKUP($B33,Seqs!$A:$B,2,0),AG33,1),"")</f>
        <v>C</v>
      </c>
      <c r="AG33" s="3">
        <v>176</v>
      </c>
      <c r="AH33" s="3" t="str">
        <f>IFERROR(MID(VLOOKUP($B33,Seqs!$A:$B,2,0),AI33,1),"")</f>
        <v>I</v>
      </c>
      <c r="AI33" s="3">
        <v>178</v>
      </c>
      <c r="AJ33" s="3" t="str">
        <f>IFERROR(MID(VLOOKUP($B33,Seqs!$A:$B,2,0),AK33,1),"")</f>
        <v>N</v>
      </c>
      <c r="AK33" s="3">
        <v>183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K</v>
      </c>
      <c r="AO33" s="3">
        <v>384</v>
      </c>
      <c r="AP33" s="3" t="str">
        <f>IFERROR(MID(VLOOKUP($B33,Seqs!$A:$B,2,0),AQ33,1),"")</f>
        <v>C</v>
      </c>
      <c r="AQ33" s="3">
        <v>413</v>
      </c>
      <c r="AR33" s="3" t="str">
        <f>IFERROR(MID(VLOOKUP($B33,Seqs!$A:$B,2,0),AS33,1),"")</f>
        <v>P</v>
      </c>
      <c r="AS33" s="3">
        <v>418</v>
      </c>
      <c r="AT33" s="3" t="str">
        <f>IFERROR(MID(VLOOKUP($B33,Seqs!$A:$B,2,0),AU33,1),"")</f>
        <v>C</v>
      </c>
      <c r="AU33" s="3">
        <v>443</v>
      </c>
      <c r="AV33" s="3" t="str">
        <f>IFERROR(MID(VLOOKUP($B33,Seqs!$A:$B,2,0),AW33,1),"")</f>
        <v>N</v>
      </c>
      <c r="AW33" s="3">
        <v>444</v>
      </c>
      <c r="AX33" s="3" t="str">
        <f>IFERROR(MID(VLOOKUP($B33,Seqs!$A:$B,2,0),AY33,1),"")</f>
        <v>M</v>
      </c>
      <c r="AY33" s="3">
        <v>456</v>
      </c>
      <c r="BA33" s="124" t="str">
        <f>VLOOKUP(B33,Classification!A:D,2,0)</f>
        <v>A</v>
      </c>
      <c r="BC33" s="1"/>
      <c r="BD33" s="1"/>
      <c r="BE33" s="57">
        <f t="shared" si="1"/>
        <v>246</v>
      </c>
      <c r="BF33" s="63" t="b">
        <f t="shared" si="2"/>
        <v>1</v>
      </c>
      <c r="BG33" s="116" t="s">
        <v>1513</v>
      </c>
      <c r="BH33" s="102" t="s">
        <v>1513</v>
      </c>
      <c r="BI33" s="102" t="s">
        <v>1513</v>
      </c>
      <c r="BJ33" s="102" t="s">
        <v>1513</v>
      </c>
      <c r="BK33" s="102" t="s">
        <v>1513</v>
      </c>
      <c r="BL33" s="102" t="s">
        <v>1513</v>
      </c>
      <c r="BM33" s="102" t="s">
        <v>1513</v>
      </c>
      <c r="BN33" s="102" t="s">
        <v>1513</v>
      </c>
      <c r="BO33" s="102" t="s">
        <v>1513</v>
      </c>
      <c r="BP33" s="102" t="s">
        <v>1513</v>
      </c>
      <c r="BQ33" s="102" t="s">
        <v>1513</v>
      </c>
      <c r="BR33" s="102" t="s">
        <v>1513</v>
      </c>
      <c r="BS33" s="116">
        <f t="shared" si="3"/>
        <v>23</v>
      </c>
      <c r="BT33" s="117">
        <f t="shared" si="4"/>
        <v>52</v>
      </c>
      <c r="BU33" s="118">
        <f t="shared" si="5"/>
        <v>56</v>
      </c>
      <c r="BV33" s="117">
        <f t="shared" si="6"/>
        <v>88</v>
      </c>
      <c r="BW33" s="118">
        <f t="shared" si="7"/>
        <v>92</v>
      </c>
      <c r="BX33" s="117">
        <f t="shared" si="8"/>
        <v>128</v>
      </c>
      <c r="BY33" s="118">
        <f t="shared" si="9"/>
        <v>137</v>
      </c>
      <c r="BZ33" s="117">
        <f t="shared" si="10"/>
        <v>176</v>
      </c>
      <c r="CA33" s="118">
        <f t="shared" si="11"/>
        <v>183</v>
      </c>
      <c r="CB33" s="117">
        <f t="shared" si="12"/>
        <v>384</v>
      </c>
      <c r="CC33" s="118">
        <f t="shared" si="13"/>
        <v>418</v>
      </c>
      <c r="CD33" s="117">
        <f t="shared" si="14"/>
        <v>444</v>
      </c>
      <c r="CE33" s="116">
        <f t="shared" si="15"/>
        <v>51</v>
      </c>
      <c r="CF33" s="117">
        <f t="shared" si="16"/>
        <v>55</v>
      </c>
      <c r="CG33" s="118">
        <f t="shared" si="17"/>
        <v>86</v>
      </c>
      <c r="CH33" s="118">
        <f t="shared" si="18"/>
        <v>91</v>
      </c>
      <c r="CI33" s="118">
        <f t="shared" si="19"/>
        <v>127</v>
      </c>
      <c r="CJ33" s="118">
        <f t="shared" si="20"/>
        <v>135</v>
      </c>
      <c r="CK33" s="118">
        <f t="shared" si="21"/>
        <v>167</v>
      </c>
      <c r="CL33" s="118">
        <f t="shared" si="22"/>
        <v>178</v>
      </c>
      <c r="CM33" s="118">
        <f t="shared" si="23"/>
        <v>213</v>
      </c>
      <c r="CN33" s="118">
        <f t="shared" si="24"/>
        <v>413</v>
      </c>
      <c r="CO33" s="118">
        <f t="shared" si="25"/>
        <v>443</v>
      </c>
      <c r="CP33" s="118">
        <f t="shared" si="26"/>
        <v>456</v>
      </c>
      <c r="CQ33" s="57">
        <f t="shared" si="27"/>
        <v>1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</row>
    <row r="34" spans="1:1026" x14ac:dyDescent="0.2">
      <c r="A34" s="3" t="str">
        <f t="shared" ref="A34:A65" si="28">CONCATENATE(B34,"_",C34)</f>
        <v>acm2_human_4MQS</v>
      </c>
      <c r="B34" s="3" t="s">
        <v>340</v>
      </c>
      <c r="C34" s="3" t="s">
        <v>258</v>
      </c>
      <c r="D34" s="3" t="str">
        <f>IFERROR(MID(VLOOKUP($B34,Seqs!$A:$B,2,0),E34,1),"")</f>
        <v>K</v>
      </c>
      <c r="E34" s="3">
        <v>19</v>
      </c>
      <c r="F34" s="3" t="str">
        <f>IFERROR(MID(VLOOKUP($B34,Seqs!$A:$B,2,0),G34,1),"")</f>
        <v>N</v>
      </c>
      <c r="G34" s="3">
        <v>51</v>
      </c>
      <c r="H34" s="3" t="str">
        <f>IFERROR(MID(VLOOKUP($B34,Seqs!$A:$B,2,0),I34,1),"")</f>
        <v>R</v>
      </c>
      <c r="I34" s="57">
        <v>52</v>
      </c>
      <c r="J34" s="3" t="str">
        <f>IFERROR(MID(VLOOKUP($B34,Seqs!$A:$B,2,0),K34,1),"")</f>
        <v>Q</v>
      </c>
      <c r="K34" s="57">
        <v>55</v>
      </c>
      <c r="L34" s="3" t="str">
        <f>IFERROR(MID(VLOOKUP($B34,Seqs!$A:$B,2,0),M34,1),"")</f>
        <v>T</v>
      </c>
      <c r="M34" s="3">
        <v>56</v>
      </c>
      <c r="N34" s="3" t="str">
        <f>IFERROR(MID(VLOOKUP($B34,Seqs!$A:$B,2,0),O34,1),"")</f>
        <v>I</v>
      </c>
      <c r="O34" s="3">
        <v>86</v>
      </c>
      <c r="P34" s="3" t="str">
        <f>IFERROR(MID(VLOOKUP($B34,Seqs!$A:$B,2,0),Q34,1),"")</f>
        <v>Y</v>
      </c>
      <c r="Q34" s="3">
        <v>88</v>
      </c>
      <c r="R34" s="3" t="str">
        <f>IFERROR(MID(VLOOKUP($B34,Seqs!$A:$B,2,0),S34,1),"")</f>
        <v>L</v>
      </c>
      <c r="S34" s="3">
        <v>91</v>
      </c>
      <c r="T34" s="3" t="str">
        <f>IFERROR(MID(VLOOKUP($B34,Seqs!$A:$B,2,0),U34,1),"")</f>
        <v>G</v>
      </c>
      <c r="U34" s="3">
        <v>92</v>
      </c>
      <c r="V34" s="3" t="str">
        <f>IFERROR(MID(VLOOKUP($B34,Seqs!$A:$B,2,0),W34,1),"")</f>
        <v>K</v>
      </c>
      <c r="W34" s="3">
        <v>127</v>
      </c>
      <c r="X34" s="3" t="str">
        <f>IFERROR(MID(VLOOKUP($B34,Seqs!$A:$B,2,0),Y34,1),"")</f>
        <v>P</v>
      </c>
      <c r="Y34" s="3">
        <v>128</v>
      </c>
      <c r="Z34" s="3" t="str">
        <f>IFERROR(MID(VLOOKUP($B34,Seqs!$A:$B,2,0),AA34,1),"")</f>
        <v>R</v>
      </c>
      <c r="AA34" s="3">
        <v>135</v>
      </c>
      <c r="AB34" s="3" t="str">
        <f>IFERROR(MID(VLOOKUP($B34,Seqs!$A:$B,2,0),AC34,1),"")</f>
        <v>T</v>
      </c>
      <c r="AC34" s="3">
        <v>137</v>
      </c>
      <c r="AD34" s="3" t="str">
        <f>IFERROR(MID(VLOOKUP($B34,Seqs!$A:$B,2,0),AE34,1),"")</f>
        <v>G</v>
      </c>
      <c r="AE34" s="3">
        <v>167</v>
      </c>
      <c r="AF34" s="3" t="str">
        <f>IFERROR(MID(VLOOKUP($B34,Seqs!$A:$B,2,0),AG34,1),"")</f>
        <v>C</v>
      </c>
      <c r="AG34" s="3">
        <v>176</v>
      </c>
      <c r="AH34" s="3" t="str">
        <f>IFERROR(MID(VLOOKUP($B34,Seqs!$A:$B,2,0),AI34,1),"")</f>
        <v>I</v>
      </c>
      <c r="AI34" s="3">
        <v>178</v>
      </c>
      <c r="AJ34" s="3" t="str">
        <f>IFERROR(MID(VLOOKUP($B34,Seqs!$A:$B,2,0),AK34,1),"")</f>
        <v>N</v>
      </c>
      <c r="AK34" s="3">
        <v>183</v>
      </c>
      <c r="AL34" s="3" t="str">
        <f>IFERROR(MID(VLOOKUP($B34,Seqs!$A:$B,2,0),AM34,1),"")</f>
        <v>K</v>
      </c>
      <c r="AM34" s="3">
        <v>214</v>
      </c>
      <c r="AN34" s="3" t="str">
        <f>IFERROR(MID(VLOOKUP($B34,Seqs!$A:$B,2,0),AO34,1),"")</f>
        <v>S</v>
      </c>
      <c r="AO34" s="3">
        <v>380</v>
      </c>
      <c r="AP34" s="3" t="str">
        <f>IFERROR(MID(VLOOKUP($B34,Seqs!$A:$B,2,0),AQ34,1),"")</f>
        <v>C</v>
      </c>
      <c r="AQ34" s="3">
        <v>413</v>
      </c>
      <c r="AR34" s="3" t="str">
        <f>IFERROR(MID(VLOOKUP($B34,Seqs!$A:$B,2,0),AS34,1),"")</f>
        <v>P</v>
      </c>
      <c r="AS34" s="3">
        <v>418</v>
      </c>
      <c r="AT34" s="3" t="str">
        <f>IFERROR(MID(VLOOKUP($B34,Seqs!$A:$B,2,0),AU34,1),"")</f>
        <v>C</v>
      </c>
      <c r="AU34" s="3">
        <v>443</v>
      </c>
      <c r="AV34" s="3" t="str">
        <f>IFERROR(MID(VLOOKUP($B34,Seqs!$A:$B,2,0),AW34,1),"")</f>
        <v>N</v>
      </c>
      <c r="AW34" s="3">
        <v>444</v>
      </c>
      <c r="AX34" s="3" t="str">
        <f>IFERROR(MID(VLOOKUP($B34,Seqs!$A:$B,2,0),AY34,1),"")</f>
        <v>M</v>
      </c>
      <c r="AY34" s="3">
        <v>456</v>
      </c>
      <c r="BA34" s="124" t="str">
        <f>VLOOKUP(B34,Classification!A:D,2,0)</f>
        <v>A</v>
      </c>
      <c r="BC34" s="1"/>
      <c r="BD34" s="4"/>
      <c r="BE34" s="57">
        <f t="shared" ref="BE34:BE65" si="29">_xlfn.AGGREGATE(9,6,CE34:CP34)-_xlfn.AGGREGATE(9,6,BS34:CD34)+12</f>
        <v>255</v>
      </c>
      <c r="BF34" s="63" t="b">
        <f t="shared" ref="BF34:BF65" si="30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G34" s="116" t="s">
        <v>1513</v>
      </c>
      <c r="BH34" s="102" t="s">
        <v>1513</v>
      </c>
      <c r="BI34" s="102" t="s">
        <v>1513</v>
      </c>
      <c r="BJ34" s="102" t="s">
        <v>1513</v>
      </c>
      <c r="BK34" s="102" t="s">
        <v>1513</v>
      </c>
      <c r="BL34" s="102" t="s">
        <v>1513</v>
      </c>
      <c r="BM34" s="102" t="s">
        <v>1513</v>
      </c>
      <c r="BN34" s="102" t="s">
        <v>1513</v>
      </c>
      <c r="BO34" s="102" t="s">
        <v>1513</v>
      </c>
      <c r="BP34" s="102" t="s">
        <v>1513</v>
      </c>
      <c r="BQ34" s="102" t="s">
        <v>1513</v>
      </c>
      <c r="BR34" s="102" t="s">
        <v>1513</v>
      </c>
      <c r="BS34" s="116">
        <f t="shared" ref="BS34:BS65" si="31">E34</f>
        <v>19</v>
      </c>
      <c r="BT34" s="117">
        <f t="shared" ref="BT34:BT65" si="32">I34</f>
        <v>52</v>
      </c>
      <c r="BU34" s="118">
        <f t="shared" ref="BU34:BU65" si="33">M34</f>
        <v>56</v>
      </c>
      <c r="BV34" s="117">
        <f t="shared" ref="BV34:BV65" si="34">Q34</f>
        <v>88</v>
      </c>
      <c r="BW34" s="118">
        <f t="shared" ref="BW34:BW65" si="35">U34</f>
        <v>92</v>
      </c>
      <c r="BX34" s="117">
        <f t="shared" ref="BX34:BX65" si="36">Y34</f>
        <v>128</v>
      </c>
      <c r="BY34" s="118">
        <f t="shared" ref="BY34:BY65" si="37">AC34</f>
        <v>137</v>
      </c>
      <c r="BZ34" s="117">
        <f t="shared" ref="BZ34:BZ65" si="38">AG34</f>
        <v>176</v>
      </c>
      <c r="CA34" s="118">
        <f t="shared" ref="CA34:CA65" si="39">AK34</f>
        <v>183</v>
      </c>
      <c r="CB34" s="117">
        <f t="shared" ref="CB34:CB65" si="40">AO34</f>
        <v>380</v>
      </c>
      <c r="CC34" s="118">
        <f t="shared" ref="CC34:CC65" si="41">AS34</f>
        <v>418</v>
      </c>
      <c r="CD34" s="117">
        <f t="shared" ref="CD34:CD65" si="42">AW34</f>
        <v>444</v>
      </c>
      <c r="CE34" s="116">
        <f t="shared" ref="CE34:CE65" si="43">G34</f>
        <v>51</v>
      </c>
      <c r="CF34" s="117">
        <f t="shared" ref="CF34:CF65" si="44">K34</f>
        <v>55</v>
      </c>
      <c r="CG34" s="118">
        <f t="shared" ref="CG34:CG65" si="45">O34</f>
        <v>86</v>
      </c>
      <c r="CH34" s="118">
        <f t="shared" ref="CH34:CH65" si="46">S34</f>
        <v>91</v>
      </c>
      <c r="CI34" s="118">
        <f t="shared" ref="CI34:CI65" si="47">W34</f>
        <v>127</v>
      </c>
      <c r="CJ34" s="118">
        <f t="shared" ref="CJ34:CJ65" si="48">AA34</f>
        <v>135</v>
      </c>
      <c r="CK34" s="118">
        <f t="shared" ref="CK34:CK65" si="49">AE34</f>
        <v>167</v>
      </c>
      <c r="CL34" s="118">
        <f t="shared" ref="CL34:CL65" si="50">AI34</f>
        <v>178</v>
      </c>
      <c r="CM34" s="118">
        <f t="shared" ref="CM34:CM65" si="51">AM34</f>
        <v>214</v>
      </c>
      <c r="CN34" s="118">
        <f t="shared" ref="CN34:CN65" si="52">AQ34</f>
        <v>413</v>
      </c>
      <c r="CO34" s="118">
        <f t="shared" ref="CO34:CO65" si="53">AU34</f>
        <v>443</v>
      </c>
      <c r="CP34" s="118">
        <f t="shared" ref="CP34:CP65" si="54">AY34</f>
        <v>456</v>
      </c>
      <c r="CQ34" s="57">
        <f t="shared" ref="CQ34:CQ65" si="55">M34-K34</f>
        <v>1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</row>
    <row r="35" spans="1:1026" x14ac:dyDescent="0.2">
      <c r="A35" s="3" t="str">
        <f t="shared" si="28"/>
        <v>acm2_human_4MQT</v>
      </c>
      <c r="B35" s="3" t="s">
        <v>340</v>
      </c>
      <c r="C35" s="3" t="s">
        <v>1252</v>
      </c>
      <c r="D35" s="3" t="str">
        <f>IFERROR(MID(VLOOKUP($B35,Seqs!$A:$B,2,0),E35,1),"")</f>
        <v>K</v>
      </c>
      <c r="E35" s="3">
        <v>19</v>
      </c>
      <c r="F35" s="3" t="str">
        <f>IFERROR(MID(VLOOKUP($B35,Seqs!$A:$B,2,0),G35,1),"")</f>
        <v>N</v>
      </c>
      <c r="G35" s="3">
        <v>51</v>
      </c>
      <c r="H35" s="3" t="str">
        <f>IFERROR(MID(VLOOKUP($B35,Seqs!$A:$B,2,0),I35,1),"")</f>
        <v>R</v>
      </c>
      <c r="I35" s="57">
        <v>52</v>
      </c>
      <c r="J35" s="3" t="str">
        <f>IFERROR(MID(VLOOKUP($B35,Seqs!$A:$B,2,0),K35,1),"")</f>
        <v>Q</v>
      </c>
      <c r="K35" s="57">
        <v>55</v>
      </c>
      <c r="L35" s="3" t="str">
        <f>IFERROR(MID(VLOOKUP($B35,Seqs!$A:$B,2,0),M35,1),"")</f>
        <v>T</v>
      </c>
      <c r="M35" s="3">
        <v>56</v>
      </c>
      <c r="N35" s="3" t="str">
        <f>IFERROR(MID(VLOOKUP($B35,Seqs!$A:$B,2,0),O35,1),"")</f>
        <v>I</v>
      </c>
      <c r="O35" s="3">
        <v>86</v>
      </c>
      <c r="P35" s="3" t="str">
        <f>IFERROR(MID(VLOOKUP($B35,Seqs!$A:$B,2,0),Q35,1),"")</f>
        <v>Y</v>
      </c>
      <c r="Q35" s="3">
        <v>88</v>
      </c>
      <c r="R35" s="3" t="str">
        <f>IFERROR(MID(VLOOKUP($B35,Seqs!$A:$B,2,0),S35,1),"")</f>
        <v>L</v>
      </c>
      <c r="S35" s="3">
        <v>91</v>
      </c>
      <c r="T35" s="3" t="str">
        <f>IFERROR(MID(VLOOKUP($B35,Seqs!$A:$B,2,0),U35,1),"")</f>
        <v>G</v>
      </c>
      <c r="U35" s="3">
        <v>92</v>
      </c>
      <c r="V35" s="3" t="str">
        <f>IFERROR(MID(VLOOKUP($B35,Seqs!$A:$B,2,0),W35,1),"")</f>
        <v>K</v>
      </c>
      <c r="W35" s="3">
        <v>127</v>
      </c>
      <c r="X35" s="3" t="str">
        <f>IFERROR(MID(VLOOKUP($B35,Seqs!$A:$B,2,0),Y35,1),"")</f>
        <v>P</v>
      </c>
      <c r="Y35" s="3">
        <v>128</v>
      </c>
      <c r="Z35" s="3" t="str">
        <f>IFERROR(MID(VLOOKUP($B35,Seqs!$A:$B,2,0),AA35,1),"")</f>
        <v>R</v>
      </c>
      <c r="AA35" s="3">
        <v>135</v>
      </c>
      <c r="AB35" s="3" t="str">
        <f>IFERROR(MID(VLOOKUP($B35,Seqs!$A:$B,2,0),AC35,1),"")</f>
        <v>T</v>
      </c>
      <c r="AC35" s="3">
        <v>137</v>
      </c>
      <c r="AD35" s="3" t="str">
        <f>IFERROR(MID(VLOOKUP($B35,Seqs!$A:$B,2,0),AE35,1),"")</f>
        <v>G</v>
      </c>
      <c r="AE35" s="3">
        <v>167</v>
      </c>
      <c r="AF35" s="3" t="str">
        <f>IFERROR(MID(VLOOKUP($B35,Seqs!$A:$B,2,0),AG35,1),"")</f>
        <v>C</v>
      </c>
      <c r="AG35" s="3">
        <v>176</v>
      </c>
      <c r="AH35" s="3" t="str">
        <f>IFERROR(MID(VLOOKUP($B35,Seqs!$A:$B,2,0),AI35,1),"")</f>
        <v>I</v>
      </c>
      <c r="AI35" s="3">
        <v>178</v>
      </c>
      <c r="AJ35" s="3" t="str">
        <f>IFERROR(MID(VLOOKUP($B35,Seqs!$A:$B,2,0),AK35,1),"")</f>
        <v>N</v>
      </c>
      <c r="AK35" s="3">
        <v>183</v>
      </c>
      <c r="AL35" s="3" t="str">
        <f>IFERROR(MID(VLOOKUP($B35,Seqs!$A:$B,2,0),AM35,1),"")</f>
        <v>S</v>
      </c>
      <c r="AM35" s="3">
        <v>215</v>
      </c>
      <c r="AN35" s="3" t="str">
        <f>IFERROR(MID(VLOOKUP($B35,Seqs!$A:$B,2,0),AO35,1),"")</f>
        <v>P</v>
      </c>
      <c r="AO35" s="3">
        <v>379</v>
      </c>
      <c r="AP35" s="3" t="str">
        <f>IFERROR(MID(VLOOKUP($B35,Seqs!$A:$B,2,0),AQ35,1),"")</f>
        <v>C</v>
      </c>
      <c r="AQ35" s="3">
        <v>413</v>
      </c>
      <c r="AR35" s="3" t="str">
        <f>IFERROR(MID(VLOOKUP($B35,Seqs!$A:$B,2,0),AS35,1),"")</f>
        <v>P</v>
      </c>
      <c r="AS35" s="3">
        <v>418</v>
      </c>
      <c r="AT35" s="3" t="str">
        <f>IFERROR(MID(VLOOKUP($B35,Seqs!$A:$B,2,0),AU35,1),"")</f>
        <v>C</v>
      </c>
      <c r="AU35" s="3">
        <v>443</v>
      </c>
      <c r="AV35" s="3" t="str">
        <f>IFERROR(MID(VLOOKUP($B35,Seqs!$A:$B,2,0),AW35,1),"")</f>
        <v>N</v>
      </c>
      <c r="AW35" s="3">
        <v>444</v>
      </c>
      <c r="AX35" s="3" t="str">
        <f>IFERROR(MID(VLOOKUP($B35,Seqs!$A:$B,2,0),AY35,1),"")</f>
        <v>C</v>
      </c>
      <c r="AY35" s="3">
        <v>457</v>
      </c>
      <c r="BA35" s="124" t="str">
        <f>VLOOKUP(B35,Classification!A:D,2,0)</f>
        <v>A</v>
      </c>
      <c r="BC35" s="1"/>
      <c r="BD35" s="1"/>
      <c r="BE35" s="57">
        <f t="shared" si="29"/>
        <v>258</v>
      </c>
      <c r="BF35" s="63" t="b">
        <f t="shared" si="30"/>
        <v>1</v>
      </c>
      <c r="BG35" s="116" t="s">
        <v>1513</v>
      </c>
      <c r="BH35" s="102" t="s">
        <v>1513</v>
      </c>
      <c r="BI35" s="102" t="s">
        <v>1513</v>
      </c>
      <c r="BJ35" s="102" t="s">
        <v>1513</v>
      </c>
      <c r="BK35" s="102" t="s">
        <v>1513</v>
      </c>
      <c r="BL35" s="102" t="s">
        <v>1513</v>
      </c>
      <c r="BM35" s="102" t="s">
        <v>1513</v>
      </c>
      <c r="BN35" s="102" t="s">
        <v>1513</v>
      </c>
      <c r="BO35" s="102" t="s">
        <v>1513</v>
      </c>
      <c r="BP35" s="102" t="s">
        <v>1513</v>
      </c>
      <c r="BQ35" s="102" t="s">
        <v>1513</v>
      </c>
      <c r="BR35" s="102" t="s">
        <v>1513</v>
      </c>
      <c r="BS35" s="116">
        <f t="shared" si="31"/>
        <v>19</v>
      </c>
      <c r="BT35" s="117">
        <f t="shared" si="32"/>
        <v>52</v>
      </c>
      <c r="BU35" s="118">
        <f t="shared" si="33"/>
        <v>56</v>
      </c>
      <c r="BV35" s="117">
        <f t="shared" si="34"/>
        <v>88</v>
      </c>
      <c r="BW35" s="118">
        <f t="shared" si="35"/>
        <v>92</v>
      </c>
      <c r="BX35" s="117">
        <f t="shared" si="36"/>
        <v>128</v>
      </c>
      <c r="BY35" s="118">
        <f t="shared" si="37"/>
        <v>137</v>
      </c>
      <c r="BZ35" s="117">
        <f t="shared" si="38"/>
        <v>176</v>
      </c>
      <c r="CA35" s="118">
        <f t="shared" si="39"/>
        <v>183</v>
      </c>
      <c r="CB35" s="117">
        <f t="shared" si="40"/>
        <v>379</v>
      </c>
      <c r="CC35" s="118">
        <f t="shared" si="41"/>
        <v>418</v>
      </c>
      <c r="CD35" s="117">
        <f t="shared" si="42"/>
        <v>444</v>
      </c>
      <c r="CE35" s="116">
        <f t="shared" si="43"/>
        <v>51</v>
      </c>
      <c r="CF35" s="117">
        <f t="shared" si="44"/>
        <v>55</v>
      </c>
      <c r="CG35" s="118">
        <f t="shared" si="45"/>
        <v>86</v>
      </c>
      <c r="CH35" s="118">
        <f t="shared" si="46"/>
        <v>91</v>
      </c>
      <c r="CI35" s="118">
        <f t="shared" si="47"/>
        <v>127</v>
      </c>
      <c r="CJ35" s="118">
        <f t="shared" si="48"/>
        <v>135</v>
      </c>
      <c r="CK35" s="118">
        <f t="shared" si="49"/>
        <v>167</v>
      </c>
      <c r="CL35" s="118">
        <f t="shared" si="50"/>
        <v>178</v>
      </c>
      <c r="CM35" s="118">
        <f t="shared" si="51"/>
        <v>215</v>
      </c>
      <c r="CN35" s="118">
        <f t="shared" si="52"/>
        <v>413</v>
      </c>
      <c r="CO35" s="118">
        <f t="shared" si="53"/>
        <v>443</v>
      </c>
      <c r="CP35" s="118">
        <f t="shared" si="54"/>
        <v>457</v>
      </c>
      <c r="CQ35" s="57">
        <f t="shared" si="55"/>
        <v>1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</row>
    <row r="36" spans="1:1026" x14ac:dyDescent="0.2">
      <c r="A36" s="3" t="str">
        <f t="shared" si="28"/>
        <v>acm3_rat__wt</v>
      </c>
      <c r="B36" s="3" t="s">
        <v>1105</v>
      </c>
      <c r="C36" s="3" t="s">
        <v>293</v>
      </c>
      <c r="D36" s="3" t="str">
        <f>IFERROR(MID(VLOOKUP($B36,Seqs!$A:$B,2,0),E36,1),"")</f>
        <v>I</v>
      </c>
      <c r="E36" s="3">
        <v>64</v>
      </c>
      <c r="F36" s="3" t="str">
        <f>IFERROR(MID(VLOOKUP($B36,Seqs!$A:$B,2,0),G36,1),"")</f>
        <v>N</v>
      </c>
      <c r="G36" s="3">
        <v>95</v>
      </c>
      <c r="H36" s="3" t="str">
        <f>IFERROR(MID(VLOOKUP($B36,Seqs!$A:$B,2,0),I36,1),"")</f>
        <v>K</v>
      </c>
      <c r="I36" s="57">
        <v>96</v>
      </c>
      <c r="J36" s="3" t="str">
        <f>IFERROR(MID(VLOOKUP($B36,Seqs!$A:$B,2,0),K36,1),"")</f>
        <v>K</v>
      </c>
      <c r="K36" s="57">
        <v>99</v>
      </c>
      <c r="L36" s="3" t="str">
        <f>IFERROR(MID(VLOOKUP($B36,Seqs!$A:$B,2,0),M36,1),"")</f>
        <v>T</v>
      </c>
      <c r="M36" s="3">
        <v>100</v>
      </c>
      <c r="N36" s="3" t="str">
        <f>IFERROR(MID(VLOOKUP($B36,Seqs!$A:$B,2,0),O36,1),"")</f>
        <v>M</v>
      </c>
      <c r="O36" s="3">
        <v>130</v>
      </c>
      <c r="P36" s="3" t="str">
        <f>IFERROR(MID(VLOOKUP($B36,Seqs!$A:$B,2,0),Q36,1),"")</f>
        <v>R</v>
      </c>
      <c r="Q36" s="3">
        <v>132</v>
      </c>
      <c r="R36" s="3" t="str">
        <f>IFERROR(MID(VLOOKUP($B36,Seqs!$A:$B,2,0),S36,1),"")</f>
        <v>L</v>
      </c>
      <c r="S36" s="3">
        <v>135</v>
      </c>
      <c r="T36" s="3" t="str">
        <f>IFERROR(MID(VLOOKUP($B36,Seqs!$A:$B,2,0),U36,1),"")</f>
        <v>G</v>
      </c>
      <c r="U36" s="3">
        <v>136</v>
      </c>
      <c r="V36" s="3" t="str">
        <f>IFERROR(MID(VLOOKUP($B36,Seqs!$A:$B,2,0),W36,1),"")</f>
        <v>R</v>
      </c>
      <c r="W36" s="3">
        <v>171</v>
      </c>
      <c r="X36" s="3" t="str">
        <f>IFERROR(MID(VLOOKUP($B36,Seqs!$A:$B,2,0),Y36,1),"")</f>
        <v>P</v>
      </c>
      <c r="Y36" s="3">
        <v>172</v>
      </c>
      <c r="Z36" s="3" t="str">
        <f>IFERROR(MID(VLOOKUP($B36,Seqs!$A:$B,2,0),AA36,1),"")</f>
        <v>R</v>
      </c>
      <c r="AA36" s="3">
        <v>179</v>
      </c>
      <c r="AB36" s="3" t="str">
        <f>IFERROR(MID(VLOOKUP($B36,Seqs!$A:$B,2,0),AC36,1),"")</f>
        <v>T</v>
      </c>
      <c r="AC36" s="3">
        <v>181</v>
      </c>
      <c r="AD36" s="3" t="str">
        <f>IFERROR(MID(VLOOKUP($B36,Seqs!$A:$B,2,0),AE36,1),"")</f>
        <v>G</v>
      </c>
      <c r="AE36" s="3">
        <v>211</v>
      </c>
      <c r="AF36" s="3" t="str">
        <f>IFERROR(MID(VLOOKUP($B36,Seqs!$A:$B,2,0),AG36,1),"")</f>
        <v>C</v>
      </c>
      <c r="AG36" s="3">
        <v>220</v>
      </c>
      <c r="AH36" s="3" t="str">
        <f>IFERROR(MID(VLOOKUP($B36,Seqs!$A:$B,2,0),AI36,1),"")</f>
        <v>I</v>
      </c>
      <c r="AI36" s="3">
        <v>222</v>
      </c>
      <c r="AJ36" s="3" t="str">
        <f>IFERROR(MID(VLOOKUP($B36,Seqs!$A:$B,2,0),AK36,1),"")</f>
        <v>E</v>
      </c>
      <c r="AK36" s="3">
        <v>227</v>
      </c>
      <c r="AL36" s="3" t="str">
        <f>IFERROR(MID(VLOOKUP($B36,Seqs!$A:$B,2,0),AM36,1),"")</f>
        <v>L</v>
      </c>
      <c r="AM36" s="3">
        <v>267</v>
      </c>
      <c r="AN36" s="3" t="str">
        <f>IFERROR(MID(VLOOKUP($B36,Seqs!$A:$B,2,0),AO36,1),"")</f>
        <v>R</v>
      </c>
      <c r="AO36" s="3">
        <v>479</v>
      </c>
      <c r="AP36" s="3" t="str">
        <f>IFERROR(MID(VLOOKUP($B36,Seqs!$A:$B,2,0),AQ36,1),"")</f>
        <v>C</v>
      </c>
      <c r="AQ36" s="3">
        <v>516</v>
      </c>
      <c r="AR36" s="3" t="str">
        <f>IFERROR(MID(VLOOKUP($B36,Seqs!$A:$B,2,0),AS36,1),"")</f>
        <v>P</v>
      </c>
      <c r="AS36" s="3">
        <v>521</v>
      </c>
      <c r="AT36" s="3" t="str">
        <f>IFERROR(MID(VLOOKUP($B36,Seqs!$A:$B,2,0),AU36,1),"")</f>
        <v>C</v>
      </c>
      <c r="AU36" s="3">
        <v>546</v>
      </c>
      <c r="AV36" s="3" t="str">
        <f>IFERROR(MID(VLOOKUP($B36,Seqs!$A:$B,2,0),AW36,1),"")</f>
        <v>N</v>
      </c>
      <c r="AW36" s="3">
        <v>547</v>
      </c>
      <c r="AX36" s="3" t="str">
        <f>IFERROR(MID(VLOOKUP($B36,Seqs!$A:$B,2,0),AY36,1),"")</f>
        <v>L</v>
      </c>
      <c r="AY36" s="3">
        <v>558</v>
      </c>
      <c r="BA36" s="124" t="str">
        <f>VLOOKUP(B36,Classification!A:D,2,0)</f>
        <v>A</v>
      </c>
      <c r="BC36" s="1"/>
      <c r="BD36" s="72">
        <f>S36-Q36+1</f>
        <v>4</v>
      </c>
      <c r="BE36" s="57">
        <f t="shared" si="29"/>
        <v>266</v>
      </c>
      <c r="BF36" s="63" t="b">
        <f t="shared" si="30"/>
        <v>1</v>
      </c>
      <c r="BG36" s="116" t="s">
        <v>1513</v>
      </c>
      <c r="BH36" s="102" t="s">
        <v>1513</v>
      </c>
      <c r="BI36" s="102" t="s">
        <v>1513</v>
      </c>
      <c r="BJ36" s="102" t="s">
        <v>1513</v>
      </c>
      <c r="BK36" s="102" t="s">
        <v>1513</v>
      </c>
      <c r="BL36" s="102" t="s">
        <v>1513</v>
      </c>
      <c r="BM36" s="102" t="s">
        <v>1513</v>
      </c>
      <c r="BN36" s="102" t="s">
        <v>1513</v>
      </c>
      <c r="BO36" s="102" t="s">
        <v>1513</v>
      </c>
      <c r="BP36" s="102" t="s">
        <v>1513</v>
      </c>
      <c r="BQ36" s="102" t="s">
        <v>1513</v>
      </c>
      <c r="BR36" s="102" t="s">
        <v>1513</v>
      </c>
      <c r="BS36" s="116">
        <f t="shared" si="31"/>
        <v>64</v>
      </c>
      <c r="BT36" s="117">
        <f t="shared" si="32"/>
        <v>96</v>
      </c>
      <c r="BU36" s="118">
        <f t="shared" si="33"/>
        <v>100</v>
      </c>
      <c r="BV36" s="117">
        <f t="shared" si="34"/>
        <v>132</v>
      </c>
      <c r="BW36" s="118">
        <f t="shared" si="35"/>
        <v>136</v>
      </c>
      <c r="BX36" s="117">
        <f t="shared" si="36"/>
        <v>172</v>
      </c>
      <c r="BY36" s="118">
        <f t="shared" si="37"/>
        <v>181</v>
      </c>
      <c r="BZ36" s="117">
        <f t="shared" si="38"/>
        <v>220</v>
      </c>
      <c r="CA36" s="118">
        <f t="shared" si="39"/>
        <v>227</v>
      </c>
      <c r="CB36" s="117">
        <f t="shared" si="40"/>
        <v>479</v>
      </c>
      <c r="CC36" s="118">
        <f t="shared" si="41"/>
        <v>521</v>
      </c>
      <c r="CD36" s="117">
        <f t="shared" si="42"/>
        <v>547</v>
      </c>
      <c r="CE36" s="116">
        <f t="shared" si="43"/>
        <v>95</v>
      </c>
      <c r="CF36" s="117">
        <f t="shared" si="44"/>
        <v>99</v>
      </c>
      <c r="CG36" s="118">
        <f t="shared" si="45"/>
        <v>130</v>
      </c>
      <c r="CH36" s="118">
        <f t="shared" si="46"/>
        <v>135</v>
      </c>
      <c r="CI36" s="118">
        <f t="shared" si="47"/>
        <v>171</v>
      </c>
      <c r="CJ36" s="118">
        <f t="shared" si="48"/>
        <v>179</v>
      </c>
      <c r="CK36" s="118">
        <f t="shared" si="49"/>
        <v>211</v>
      </c>
      <c r="CL36" s="118">
        <f t="shared" si="50"/>
        <v>222</v>
      </c>
      <c r="CM36" s="118">
        <f t="shared" si="51"/>
        <v>267</v>
      </c>
      <c r="CN36" s="118">
        <f t="shared" si="52"/>
        <v>516</v>
      </c>
      <c r="CO36" s="118">
        <f t="shared" si="53"/>
        <v>546</v>
      </c>
      <c r="CP36" s="118">
        <f t="shared" si="54"/>
        <v>558</v>
      </c>
      <c r="CQ36" s="57">
        <f t="shared" si="55"/>
        <v>1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</row>
    <row r="37" spans="1:1026" x14ac:dyDescent="0.2">
      <c r="A37" s="3" t="str">
        <f t="shared" si="28"/>
        <v>acm3_rat_4U15</v>
      </c>
      <c r="B37" s="3" t="s">
        <v>1105</v>
      </c>
      <c r="C37" s="3" t="s">
        <v>261</v>
      </c>
      <c r="D37" s="3" t="str">
        <f>IFERROR(MID(VLOOKUP($B37,Seqs!$A:$B,2,0),E37,1),"")</f>
        <v>I</v>
      </c>
      <c r="E37" s="3">
        <v>64</v>
      </c>
      <c r="F37" s="3" t="str">
        <f>IFERROR(MID(VLOOKUP($B37,Seqs!$A:$B,2,0),G37,1),"")</f>
        <v>N</v>
      </c>
      <c r="G37" s="3">
        <v>95</v>
      </c>
      <c r="H37" s="3" t="str">
        <f>IFERROR(MID(VLOOKUP($B37,Seqs!$A:$B,2,0),I37,1),"")</f>
        <v>K</v>
      </c>
      <c r="I37" s="57">
        <v>96</v>
      </c>
      <c r="J37" s="3" t="str">
        <f>IFERROR(MID(VLOOKUP($B37,Seqs!$A:$B,2,0),K37,1),"")</f>
        <v>K</v>
      </c>
      <c r="K37" s="57">
        <v>99</v>
      </c>
      <c r="L37" s="3" t="str">
        <f>IFERROR(MID(VLOOKUP($B37,Seqs!$A:$B,2,0),M37,1),"")</f>
        <v>T</v>
      </c>
      <c r="M37" s="3">
        <v>100</v>
      </c>
      <c r="N37" s="3" t="str">
        <f>IFERROR(MID(VLOOKUP($B37,Seqs!$A:$B,2,0),O37,1),"")</f>
        <v>M</v>
      </c>
      <c r="O37" s="3">
        <v>130</v>
      </c>
      <c r="P37" s="3" t="str">
        <f>IFERROR(MID(VLOOKUP($B37,Seqs!$A:$B,2,0),Q37,1),"")</f>
        <v>R</v>
      </c>
      <c r="Q37" s="3">
        <v>132</v>
      </c>
      <c r="R37" s="3" t="str">
        <f>IFERROR(MID(VLOOKUP($B37,Seqs!$A:$B,2,0),S37,1),"")</f>
        <v>L</v>
      </c>
      <c r="S37" s="3">
        <v>135</v>
      </c>
      <c r="T37" s="3" t="str">
        <f>IFERROR(MID(VLOOKUP($B37,Seqs!$A:$B,2,0),U37,1),"")</f>
        <v>G</v>
      </c>
      <c r="U37" s="3">
        <v>136</v>
      </c>
      <c r="V37" s="3" t="str">
        <f>IFERROR(MID(VLOOKUP($B37,Seqs!$A:$B,2,0),W37,1),"")</f>
        <v>R</v>
      </c>
      <c r="W37" s="3">
        <v>171</v>
      </c>
      <c r="X37" s="3" t="str">
        <f>IFERROR(MID(VLOOKUP($B37,Seqs!$A:$B,2,0),Y37,1),"")</f>
        <v>P</v>
      </c>
      <c r="Y37" s="3">
        <v>172</v>
      </c>
      <c r="Z37" s="3" t="str">
        <f>IFERROR(MID(VLOOKUP($B37,Seqs!$A:$B,2,0),AA37,1),"")</f>
        <v>R</v>
      </c>
      <c r="AA37" s="3">
        <v>179</v>
      </c>
      <c r="AB37" s="3" t="str">
        <f>IFERROR(MID(VLOOKUP($B37,Seqs!$A:$B,2,0),AC37,1),"")</f>
        <v>T</v>
      </c>
      <c r="AC37" s="3">
        <v>181</v>
      </c>
      <c r="AD37" s="3" t="str">
        <f>IFERROR(MID(VLOOKUP($B37,Seqs!$A:$B,2,0),AE37,1),"")</f>
        <v>G</v>
      </c>
      <c r="AE37" s="3">
        <v>211</v>
      </c>
      <c r="AF37" s="3" t="str">
        <f>IFERROR(MID(VLOOKUP($B37,Seqs!$A:$B,2,0),AG37,1),"")</f>
        <v>C</v>
      </c>
      <c r="AG37" s="3">
        <v>220</v>
      </c>
      <c r="AH37" s="3" t="str">
        <f>IFERROR(MID(VLOOKUP($B37,Seqs!$A:$B,2,0),AI37,1),"")</f>
        <v>I</v>
      </c>
      <c r="AI37" s="3">
        <v>222</v>
      </c>
      <c r="AJ37" s="3" t="str">
        <f>IFERROR(MID(VLOOKUP($B37,Seqs!$A:$B,2,0),AK37,1),"")</f>
        <v>E</v>
      </c>
      <c r="AK37" s="3">
        <v>227</v>
      </c>
      <c r="AL37" s="3" t="str">
        <f>IFERROR(MID(VLOOKUP($B37,Seqs!$A:$B,2,0),AM37,1),"")</f>
        <v>K</v>
      </c>
      <c r="AM37" s="3">
        <v>259</v>
      </c>
      <c r="AN37" s="3" t="str">
        <f>IFERROR(MID(VLOOKUP($B37,Seqs!$A:$B,2,0),AO37,1),"")</f>
        <v>I</v>
      </c>
      <c r="AO37" s="3">
        <v>483</v>
      </c>
      <c r="AP37" s="3" t="str">
        <f>IFERROR(MID(VLOOKUP($B37,Seqs!$A:$B,2,0),AQ37,1),"")</f>
        <v>C</v>
      </c>
      <c r="AQ37" s="3">
        <v>516</v>
      </c>
      <c r="AR37" s="3" t="str">
        <f>IFERROR(MID(VLOOKUP($B37,Seqs!$A:$B,2,0),AS37,1),"")</f>
        <v>P</v>
      </c>
      <c r="AS37" s="3">
        <v>521</v>
      </c>
      <c r="AT37" s="3" t="str">
        <f>IFERROR(MID(VLOOKUP($B37,Seqs!$A:$B,2,0),AU37,1),"")</f>
        <v>C</v>
      </c>
      <c r="AU37" s="3">
        <v>546</v>
      </c>
      <c r="AV37" s="3" t="str">
        <f>IFERROR(MID(VLOOKUP($B37,Seqs!$A:$B,2,0),AW37,1),"")</f>
        <v>N</v>
      </c>
      <c r="AW37" s="3">
        <v>547</v>
      </c>
      <c r="AX37" s="3" t="str">
        <f>IFERROR(MID(VLOOKUP($B37,Seqs!$A:$B,2,0),AY37,1),"")</f>
        <v>L</v>
      </c>
      <c r="AY37" s="3">
        <v>558</v>
      </c>
      <c r="BA37" s="124" t="str">
        <f>VLOOKUP(B37,Classification!A:D,2,0)</f>
        <v>A</v>
      </c>
      <c r="BC37" s="1"/>
      <c r="BD37" s="1"/>
      <c r="BE37" s="57">
        <f t="shared" si="29"/>
        <v>254</v>
      </c>
      <c r="BF37" s="63" t="b">
        <f t="shared" si="30"/>
        <v>1</v>
      </c>
      <c r="BG37" s="116" t="s">
        <v>1513</v>
      </c>
      <c r="BH37" s="102" t="s">
        <v>1513</v>
      </c>
      <c r="BI37" s="102" t="s">
        <v>1513</v>
      </c>
      <c r="BJ37" s="102" t="s">
        <v>1513</v>
      </c>
      <c r="BK37" s="102" t="s">
        <v>1513</v>
      </c>
      <c r="BL37" s="102" t="s">
        <v>1513</v>
      </c>
      <c r="BM37" s="102" t="s">
        <v>1513</v>
      </c>
      <c r="BN37" s="102" t="s">
        <v>1513</v>
      </c>
      <c r="BO37" s="102" t="s">
        <v>1513</v>
      </c>
      <c r="BP37" s="102" t="s">
        <v>1513</v>
      </c>
      <c r="BQ37" s="102" t="s">
        <v>1513</v>
      </c>
      <c r="BR37" s="102" t="s">
        <v>1513</v>
      </c>
      <c r="BS37" s="116">
        <f t="shared" si="31"/>
        <v>64</v>
      </c>
      <c r="BT37" s="117">
        <f t="shared" si="32"/>
        <v>96</v>
      </c>
      <c r="BU37" s="118">
        <f t="shared" si="33"/>
        <v>100</v>
      </c>
      <c r="BV37" s="117">
        <f t="shared" si="34"/>
        <v>132</v>
      </c>
      <c r="BW37" s="118">
        <f t="shared" si="35"/>
        <v>136</v>
      </c>
      <c r="BX37" s="117">
        <f t="shared" si="36"/>
        <v>172</v>
      </c>
      <c r="BY37" s="118">
        <f t="shared" si="37"/>
        <v>181</v>
      </c>
      <c r="BZ37" s="117">
        <f t="shared" si="38"/>
        <v>220</v>
      </c>
      <c r="CA37" s="118">
        <f t="shared" si="39"/>
        <v>227</v>
      </c>
      <c r="CB37" s="117">
        <f t="shared" si="40"/>
        <v>483</v>
      </c>
      <c r="CC37" s="118">
        <f t="shared" si="41"/>
        <v>521</v>
      </c>
      <c r="CD37" s="117">
        <f t="shared" si="42"/>
        <v>547</v>
      </c>
      <c r="CE37" s="116">
        <f t="shared" si="43"/>
        <v>95</v>
      </c>
      <c r="CF37" s="117">
        <f t="shared" si="44"/>
        <v>99</v>
      </c>
      <c r="CG37" s="118">
        <f t="shared" si="45"/>
        <v>130</v>
      </c>
      <c r="CH37" s="118">
        <f t="shared" si="46"/>
        <v>135</v>
      </c>
      <c r="CI37" s="118">
        <f t="shared" si="47"/>
        <v>171</v>
      </c>
      <c r="CJ37" s="118">
        <f t="shared" si="48"/>
        <v>179</v>
      </c>
      <c r="CK37" s="118">
        <f t="shared" si="49"/>
        <v>211</v>
      </c>
      <c r="CL37" s="118">
        <f t="shared" si="50"/>
        <v>222</v>
      </c>
      <c r="CM37" s="118">
        <f t="shared" si="51"/>
        <v>259</v>
      </c>
      <c r="CN37" s="118">
        <f t="shared" si="52"/>
        <v>516</v>
      </c>
      <c r="CO37" s="118">
        <f t="shared" si="53"/>
        <v>546</v>
      </c>
      <c r="CP37" s="118">
        <f t="shared" si="54"/>
        <v>558</v>
      </c>
      <c r="CQ37" s="57">
        <f t="shared" si="55"/>
        <v>1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</row>
    <row r="38" spans="1:1026" x14ac:dyDescent="0.2">
      <c r="A38" s="3" t="str">
        <f t="shared" si="28"/>
        <v>acm3_rat_4U16</v>
      </c>
      <c r="B38" s="3" t="s">
        <v>1105</v>
      </c>
      <c r="C38" s="3" t="s">
        <v>1259</v>
      </c>
      <c r="D38" s="3" t="str">
        <f>IFERROR(MID(VLOOKUP($B38,Seqs!$A:$B,2,0),E38,1),"")</f>
        <v>I</v>
      </c>
      <c r="E38" s="3">
        <v>64</v>
      </c>
      <c r="F38" s="3" t="str">
        <f>IFERROR(MID(VLOOKUP($B38,Seqs!$A:$B,2,0),G38,1),"")</f>
        <v>N</v>
      </c>
      <c r="G38" s="3">
        <v>95</v>
      </c>
      <c r="H38" s="3" t="str">
        <f>IFERROR(MID(VLOOKUP($B38,Seqs!$A:$B,2,0),I38,1),"")</f>
        <v>K</v>
      </c>
      <c r="I38" s="57">
        <v>96</v>
      </c>
      <c r="J38" s="3" t="str">
        <f>IFERROR(MID(VLOOKUP($B38,Seqs!$A:$B,2,0),K38,1),"")</f>
        <v>K</v>
      </c>
      <c r="K38" s="57">
        <v>99</v>
      </c>
      <c r="L38" s="3" t="str">
        <f>IFERROR(MID(VLOOKUP($B38,Seqs!$A:$B,2,0),M38,1),"")</f>
        <v>T</v>
      </c>
      <c r="M38" s="3">
        <v>100</v>
      </c>
      <c r="N38" s="3" t="str">
        <f>IFERROR(MID(VLOOKUP($B38,Seqs!$A:$B,2,0),O38,1),"")</f>
        <v>M</v>
      </c>
      <c r="O38" s="3">
        <v>130</v>
      </c>
      <c r="P38" s="3" t="str">
        <f>IFERROR(MID(VLOOKUP($B38,Seqs!$A:$B,2,0),Q38,1),"")</f>
        <v>R</v>
      </c>
      <c r="Q38" s="3">
        <v>132</v>
      </c>
      <c r="R38" s="3" t="str">
        <f>IFERROR(MID(VLOOKUP($B38,Seqs!$A:$B,2,0),S38,1),"")</f>
        <v>L</v>
      </c>
      <c r="S38" s="3">
        <v>135</v>
      </c>
      <c r="T38" s="3" t="str">
        <f>IFERROR(MID(VLOOKUP($B38,Seqs!$A:$B,2,0),U38,1),"")</f>
        <v>G</v>
      </c>
      <c r="U38" s="3">
        <v>136</v>
      </c>
      <c r="V38" s="3" t="str">
        <f>IFERROR(MID(VLOOKUP($B38,Seqs!$A:$B,2,0),W38,1),"")</f>
        <v>R</v>
      </c>
      <c r="W38" s="3">
        <v>171</v>
      </c>
      <c r="X38" s="3" t="str">
        <f>IFERROR(MID(VLOOKUP($B38,Seqs!$A:$B,2,0),Y38,1),"")</f>
        <v>P</v>
      </c>
      <c r="Y38" s="3">
        <v>172</v>
      </c>
      <c r="Z38" s="3" t="str">
        <f>IFERROR(MID(VLOOKUP($B38,Seqs!$A:$B,2,0),AA38,1),"")</f>
        <v>R</v>
      </c>
      <c r="AA38" s="3">
        <v>179</v>
      </c>
      <c r="AB38" s="3" t="str">
        <f>IFERROR(MID(VLOOKUP($B38,Seqs!$A:$B,2,0),AC38,1),"")</f>
        <v>T</v>
      </c>
      <c r="AC38" s="3">
        <v>181</v>
      </c>
      <c r="AD38" s="3" t="str">
        <f>IFERROR(MID(VLOOKUP($B38,Seqs!$A:$B,2,0),AE38,1),"")</f>
        <v>G</v>
      </c>
      <c r="AE38" s="3">
        <v>211</v>
      </c>
      <c r="AF38" s="3" t="str">
        <f>IFERROR(MID(VLOOKUP($B38,Seqs!$A:$B,2,0),AG38,1),"")</f>
        <v>C</v>
      </c>
      <c r="AG38" s="3">
        <v>220</v>
      </c>
      <c r="AH38" s="3" t="str">
        <f>IFERROR(MID(VLOOKUP($B38,Seqs!$A:$B,2,0),AI38,1),"")</f>
        <v>I</v>
      </c>
      <c r="AI38" s="3">
        <v>222</v>
      </c>
      <c r="AJ38" s="3" t="str">
        <f>IFERROR(MID(VLOOKUP($B38,Seqs!$A:$B,2,0),AK38,1),"")</f>
        <v>E</v>
      </c>
      <c r="AK38" s="3">
        <v>227</v>
      </c>
      <c r="AL38" s="3" t="str">
        <f>IFERROR(MID(VLOOKUP($B38,Seqs!$A:$B,2,0),AM38,1),"")</f>
        <v>K</v>
      </c>
      <c r="AM38" s="3">
        <v>259</v>
      </c>
      <c r="AN38" s="3" t="str">
        <f>IFERROR(MID(VLOOKUP($B38,Seqs!$A:$B,2,0),AO38,1),"")</f>
        <v>I</v>
      </c>
      <c r="AO38" s="3">
        <v>483</v>
      </c>
      <c r="AP38" s="3" t="str">
        <f>IFERROR(MID(VLOOKUP($B38,Seqs!$A:$B,2,0),AQ38,1),"")</f>
        <v>C</v>
      </c>
      <c r="AQ38" s="3">
        <v>516</v>
      </c>
      <c r="AR38" s="3" t="str">
        <f>IFERROR(MID(VLOOKUP($B38,Seqs!$A:$B,2,0),AS38,1),"")</f>
        <v>P</v>
      </c>
      <c r="AS38" s="3">
        <v>521</v>
      </c>
      <c r="AT38" s="3" t="str">
        <f>IFERROR(MID(VLOOKUP($B38,Seqs!$A:$B,2,0),AU38,1),"")</f>
        <v>C</v>
      </c>
      <c r="AU38" s="3">
        <v>546</v>
      </c>
      <c r="AV38" s="3" t="str">
        <f>IFERROR(MID(VLOOKUP($B38,Seqs!$A:$B,2,0),AW38,1),"")</f>
        <v/>
      </c>
      <c r="AW38" s="3" t="s">
        <v>129</v>
      </c>
      <c r="AX38" s="3" t="str">
        <f>IFERROR(MID(VLOOKUP($B38,Seqs!$A:$B,2,0),AY38,1),"")</f>
        <v/>
      </c>
      <c r="AY38" s="3" t="s">
        <v>129</v>
      </c>
      <c r="BA38" s="124" t="str">
        <f>VLOOKUP(B38,Classification!A:D,2,0)</f>
        <v>A</v>
      </c>
      <c r="BC38" s="1"/>
      <c r="BD38" s="1"/>
      <c r="BE38" s="57">
        <f t="shared" si="29"/>
        <v>243</v>
      </c>
      <c r="BF38" s="63" t="b">
        <f t="shared" si="30"/>
        <v>1</v>
      </c>
      <c r="BG38" s="116" t="s">
        <v>1513</v>
      </c>
      <c r="BH38" s="102" t="s">
        <v>1513</v>
      </c>
      <c r="BI38" s="102" t="s">
        <v>1513</v>
      </c>
      <c r="BJ38" s="102" t="s">
        <v>1513</v>
      </c>
      <c r="BK38" s="102" t="s">
        <v>1513</v>
      </c>
      <c r="BL38" s="102" t="s">
        <v>1513</v>
      </c>
      <c r="BM38" s="102" t="s">
        <v>1513</v>
      </c>
      <c r="BN38" s="102" t="s">
        <v>1513</v>
      </c>
      <c r="BO38" s="102" t="s">
        <v>1513</v>
      </c>
      <c r="BP38" s="102" t="s">
        <v>1513</v>
      </c>
      <c r="BQ38" s="102" t="s">
        <v>1513</v>
      </c>
      <c r="BR38" s="102" t="s">
        <v>1513</v>
      </c>
      <c r="BS38" s="116">
        <f t="shared" si="31"/>
        <v>64</v>
      </c>
      <c r="BT38" s="117">
        <f t="shared" si="32"/>
        <v>96</v>
      </c>
      <c r="BU38" s="118">
        <f t="shared" si="33"/>
        <v>100</v>
      </c>
      <c r="BV38" s="117">
        <f t="shared" si="34"/>
        <v>132</v>
      </c>
      <c r="BW38" s="118">
        <f t="shared" si="35"/>
        <v>136</v>
      </c>
      <c r="BX38" s="117">
        <f t="shared" si="36"/>
        <v>172</v>
      </c>
      <c r="BY38" s="118">
        <f t="shared" si="37"/>
        <v>181</v>
      </c>
      <c r="BZ38" s="117">
        <f t="shared" si="38"/>
        <v>220</v>
      </c>
      <c r="CA38" s="118">
        <f t="shared" si="39"/>
        <v>227</v>
      </c>
      <c r="CB38" s="117">
        <f t="shared" si="40"/>
        <v>483</v>
      </c>
      <c r="CC38" s="118">
        <f t="shared" si="41"/>
        <v>521</v>
      </c>
      <c r="CD38" s="117" t="str">
        <f t="shared" si="42"/>
        <v>-</v>
      </c>
      <c r="CE38" s="116">
        <f t="shared" si="43"/>
        <v>95</v>
      </c>
      <c r="CF38" s="117">
        <f t="shared" si="44"/>
        <v>99</v>
      </c>
      <c r="CG38" s="118">
        <f t="shared" si="45"/>
        <v>130</v>
      </c>
      <c r="CH38" s="118">
        <f t="shared" si="46"/>
        <v>135</v>
      </c>
      <c r="CI38" s="118">
        <f t="shared" si="47"/>
        <v>171</v>
      </c>
      <c r="CJ38" s="118">
        <f t="shared" si="48"/>
        <v>179</v>
      </c>
      <c r="CK38" s="118">
        <f t="shared" si="49"/>
        <v>211</v>
      </c>
      <c r="CL38" s="118">
        <f t="shared" si="50"/>
        <v>222</v>
      </c>
      <c r="CM38" s="118">
        <f t="shared" si="51"/>
        <v>259</v>
      </c>
      <c r="CN38" s="118">
        <f t="shared" si="52"/>
        <v>516</v>
      </c>
      <c r="CO38" s="118">
        <f t="shared" si="53"/>
        <v>546</v>
      </c>
      <c r="CP38" s="118" t="str">
        <f t="shared" si="54"/>
        <v>-</v>
      </c>
      <c r="CQ38" s="57">
        <f t="shared" si="55"/>
        <v>1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</row>
    <row r="39" spans="1:1026" x14ac:dyDescent="0.2">
      <c r="A39" s="3" t="str">
        <f t="shared" si="28"/>
        <v>acm4_human__wt</v>
      </c>
      <c r="B39" s="3" t="s">
        <v>342</v>
      </c>
      <c r="C39" s="3" t="s">
        <v>293</v>
      </c>
      <c r="D39" s="3" t="str">
        <f>IFERROR(MID(VLOOKUP($B39,Seqs!$A:$B,2,0),E39,1),"")</f>
        <v>R</v>
      </c>
      <c r="E39" s="3">
        <v>26</v>
      </c>
      <c r="F39" s="3" t="str">
        <f>IFERROR(MID(VLOOKUP($B39,Seqs!$A:$B,2,0),G39,1),"")</f>
        <v>N</v>
      </c>
      <c r="G39" s="3">
        <v>60</v>
      </c>
      <c r="H39" s="3" t="str">
        <f>IFERROR(MID(VLOOKUP($B39,Seqs!$A:$B,2,0),I39,1),"")</f>
        <v>R</v>
      </c>
      <c r="I39" s="57">
        <v>61</v>
      </c>
      <c r="J39" s="3" t="str">
        <f>IFERROR(MID(VLOOKUP($B39,Seqs!$A:$B,2,0),K39,1),"")</f>
        <v>Q</v>
      </c>
      <c r="K39" s="57">
        <v>64</v>
      </c>
      <c r="L39" s="3" t="str">
        <f>IFERROR(MID(VLOOKUP($B39,Seqs!$A:$B,2,0),M39,1),"")</f>
        <v>T</v>
      </c>
      <c r="M39" s="3">
        <v>65</v>
      </c>
      <c r="N39" s="3" t="str">
        <f>IFERROR(MID(VLOOKUP($B39,Seqs!$A:$B,2,0),O39,1),"")</f>
        <v>K</v>
      </c>
      <c r="O39" s="3">
        <v>95</v>
      </c>
      <c r="P39" s="3" t="str">
        <f>IFERROR(MID(VLOOKUP($B39,Seqs!$A:$B,2,0),Q39,1),"")</f>
        <v>Y</v>
      </c>
      <c r="Q39" s="3">
        <v>97</v>
      </c>
      <c r="R39" s="3" t="str">
        <f>IFERROR(MID(VLOOKUP($B39,Seqs!$A:$B,2,0),S39,1),"")</f>
        <v>L</v>
      </c>
      <c r="S39" s="3">
        <v>100</v>
      </c>
      <c r="T39" s="3" t="str">
        <f>IFERROR(MID(VLOOKUP($B39,Seqs!$A:$B,2,0),U39,1),"")</f>
        <v>G</v>
      </c>
      <c r="U39" s="3">
        <v>101</v>
      </c>
      <c r="V39" s="3" t="str">
        <f>IFERROR(MID(VLOOKUP($B39,Seqs!$A:$B,2,0),W39,1),"")</f>
        <v>K</v>
      </c>
      <c r="W39" s="3">
        <v>136</v>
      </c>
      <c r="X39" s="3" t="str">
        <f>IFERROR(MID(VLOOKUP($B39,Seqs!$A:$B,2,0),Y39,1),"")</f>
        <v>P</v>
      </c>
      <c r="Y39" s="3">
        <v>137</v>
      </c>
      <c r="Z39" s="3" t="str">
        <f>IFERROR(MID(VLOOKUP($B39,Seqs!$A:$B,2,0),AA39,1),"")</f>
        <v>R</v>
      </c>
      <c r="AA39" s="3">
        <v>144</v>
      </c>
      <c r="AB39" s="3" t="str">
        <f>IFERROR(MID(VLOOKUP($B39,Seqs!$A:$B,2,0),AC39,1),"")</f>
        <v>T</v>
      </c>
      <c r="AC39" s="3">
        <v>146</v>
      </c>
      <c r="AD39" s="3" t="str">
        <f>IFERROR(MID(VLOOKUP($B39,Seqs!$A:$B,2,0),AE39,1),"")</f>
        <v>G</v>
      </c>
      <c r="AE39" s="3">
        <v>176</v>
      </c>
      <c r="AF39" s="3" t="str">
        <f>IFERROR(MID(VLOOKUP($B39,Seqs!$A:$B,2,0),AG39,1),"")</f>
        <v>C</v>
      </c>
      <c r="AG39" s="3">
        <v>185</v>
      </c>
      <c r="AH39" s="3" t="str">
        <f>IFERROR(MID(VLOOKUP($B39,Seqs!$A:$B,2,0),AI39,1),"")</f>
        <v>I</v>
      </c>
      <c r="AI39" s="3">
        <v>187</v>
      </c>
      <c r="AJ39" s="3" t="str">
        <f>IFERROR(MID(VLOOKUP($B39,Seqs!$A:$B,2,0),AK39,1),"")</f>
        <v>N</v>
      </c>
      <c r="AK39" s="3">
        <v>192</v>
      </c>
      <c r="AL39" s="3" t="str">
        <f>IFERROR(MID(VLOOKUP($B39,Seqs!$A:$B,2,0),AM39,1),"")</f>
        <v>E</v>
      </c>
      <c r="AM39" s="3">
        <v>232</v>
      </c>
      <c r="AN39" s="3" t="str">
        <f>IFERROR(MID(VLOOKUP($B39,Seqs!$A:$B,2,0),AO39,1),"")</f>
        <v>R</v>
      </c>
      <c r="AO39" s="3">
        <v>389</v>
      </c>
      <c r="AP39" s="3" t="str">
        <f>IFERROR(MID(VLOOKUP($B39,Seqs!$A:$B,2,0),AQ39,1),"")</f>
        <v>C</v>
      </c>
      <c r="AQ39" s="3">
        <v>426</v>
      </c>
      <c r="AR39" s="3" t="str">
        <f>IFERROR(MID(VLOOKUP($B39,Seqs!$A:$B,2,0),AS39,1),"")</f>
        <v>P</v>
      </c>
      <c r="AS39" s="3">
        <v>431</v>
      </c>
      <c r="AT39" s="3" t="str">
        <f>IFERROR(MID(VLOOKUP($B39,Seqs!$A:$B,2,0),AU39,1),"")</f>
        <v>C</v>
      </c>
      <c r="AU39" s="3">
        <v>456</v>
      </c>
      <c r="AV39" s="3" t="str">
        <f>IFERROR(MID(VLOOKUP($B39,Seqs!$A:$B,2,0),AW39,1),"")</f>
        <v>N</v>
      </c>
      <c r="AW39" s="3">
        <v>457</v>
      </c>
      <c r="AX39" s="3" t="str">
        <f>IFERROR(MID(VLOOKUP($B39,Seqs!$A:$B,2,0),AY39,1),"")</f>
        <v>L</v>
      </c>
      <c r="AY39" s="3">
        <v>469</v>
      </c>
      <c r="BA39" s="124" t="str">
        <f>VLOOKUP(B39,Classification!A:D,2,0)</f>
        <v>A</v>
      </c>
      <c r="BC39" s="1"/>
      <c r="BD39" s="72">
        <f>S39-Q39+1</f>
        <v>4</v>
      </c>
      <c r="BE39" s="57">
        <f t="shared" si="29"/>
        <v>270</v>
      </c>
      <c r="BF39" s="64" t="b">
        <f t="shared" si="30"/>
        <v>1</v>
      </c>
      <c r="BG39" s="116" t="s">
        <v>1513</v>
      </c>
      <c r="BH39" s="102" t="s">
        <v>1513</v>
      </c>
      <c r="BI39" s="102" t="s">
        <v>1513</v>
      </c>
      <c r="BJ39" s="102" t="s">
        <v>1513</v>
      </c>
      <c r="BK39" s="102" t="s">
        <v>1513</v>
      </c>
      <c r="BL39" s="102" t="s">
        <v>1513</v>
      </c>
      <c r="BM39" s="102" t="s">
        <v>1513</v>
      </c>
      <c r="BN39" s="102" t="s">
        <v>1513</v>
      </c>
      <c r="BO39" s="102" t="s">
        <v>1513</v>
      </c>
      <c r="BP39" s="102" t="s">
        <v>1513</v>
      </c>
      <c r="BQ39" s="102" t="s">
        <v>1513</v>
      </c>
      <c r="BR39" s="102" t="s">
        <v>1513</v>
      </c>
      <c r="BS39" s="116">
        <f t="shared" si="31"/>
        <v>26</v>
      </c>
      <c r="BT39" s="117">
        <f t="shared" si="32"/>
        <v>61</v>
      </c>
      <c r="BU39" s="118">
        <f t="shared" si="33"/>
        <v>65</v>
      </c>
      <c r="BV39" s="117">
        <f t="shared" si="34"/>
        <v>97</v>
      </c>
      <c r="BW39" s="118">
        <f t="shared" si="35"/>
        <v>101</v>
      </c>
      <c r="BX39" s="117">
        <f t="shared" si="36"/>
        <v>137</v>
      </c>
      <c r="BY39" s="118">
        <f t="shared" si="37"/>
        <v>146</v>
      </c>
      <c r="BZ39" s="117">
        <f t="shared" si="38"/>
        <v>185</v>
      </c>
      <c r="CA39" s="118">
        <f t="shared" si="39"/>
        <v>192</v>
      </c>
      <c r="CB39" s="117">
        <f t="shared" si="40"/>
        <v>389</v>
      </c>
      <c r="CC39" s="118">
        <f t="shared" si="41"/>
        <v>431</v>
      </c>
      <c r="CD39" s="117">
        <f t="shared" si="42"/>
        <v>457</v>
      </c>
      <c r="CE39" s="116">
        <f t="shared" si="43"/>
        <v>60</v>
      </c>
      <c r="CF39" s="117">
        <f t="shared" si="44"/>
        <v>64</v>
      </c>
      <c r="CG39" s="118">
        <f t="shared" si="45"/>
        <v>95</v>
      </c>
      <c r="CH39" s="118">
        <f t="shared" si="46"/>
        <v>100</v>
      </c>
      <c r="CI39" s="118">
        <f t="shared" si="47"/>
        <v>136</v>
      </c>
      <c r="CJ39" s="118">
        <f t="shared" si="48"/>
        <v>144</v>
      </c>
      <c r="CK39" s="118">
        <f t="shared" si="49"/>
        <v>176</v>
      </c>
      <c r="CL39" s="118">
        <f t="shared" si="50"/>
        <v>187</v>
      </c>
      <c r="CM39" s="118">
        <f t="shared" si="51"/>
        <v>232</v>
      </c>
      <c r="CN39" s="118">
        <f t="shared" si="52"/>
        <v>426</v>
      </c>
      <c r="CO39" s="118">
        <f t="shared" si="53"/>
        <v>456</v>
      </c>
      <c r="CP39" s="118">
        <f t="shared" si="54"/>
        <v>469</v>
      </c>
      <c r="CQ39" s="57">
        <f t="shared" si="55"/>
        <v>1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</row>
    <row r="40" spans="1:1026" x14ac:dyDescent="0.2">
      <c r="A40" s="3" t="str">
        <f t="shared" si="28"/>
        <v>acm4_human_5DSG</v>
      </c>
      <c r="B40" s="3" t="s">
        <v>342</v>
      </c>
      <c r="C40" s="3" t="s">
        <v>251</v>
      </c>
      <c r="D40" s="3" t="str">
        <f>IFERROR(MID(VLOOKUP($B40,Seqs!$A:$B,2,0),E40,1),"")</f>
        <v>R</v>
      </c>
      <c r="E40" s="3">
        <v>26</v>
      </c>
      <c r="F40" s="3" t="str">
        <f>IFERROR(MID(VLOOKUP($B40,Seqs!$A:$B,2,0),G40,1),"")</f>
        <v>N</v>
      </c>
      <c r="G40" s="3">
        <v>60</v>
      </c>
      <c r="H40" s="3" t="str">
        <f>IFERROR(MID(VLOOKUP($B40,Seqs!$A:$B,2,0),I40,1),"")</f>
        <v>R</v>
      </c>
      <c r="I40" s="57">
        <v>61</v>
      </c>
      <c r="J40" s="3" t="str">
        <f>IFERROR(MID(VLOOKUP($B40,Seqs!$A:$B,2,0),K40,1),"")</f>
        <v>Q</v>
      </c>
      <c r="K40" s="57">
        <v>64</v>
      </c>
      <c r="L40" s="3" t="str">
        <f>IFERROR(MID(VLOOKUP($B40,Seqs!$A:$B,2,0),M40,1),"")</f>
        <v>T</v>
      </c>
      <c r="M40" s="3">
        <v>65</v>
      </c>
      <c r="N40" s="3" t="str">
        <f>IFERROR(MID(VLOOKUP($B40,Seqs!$A:$B,2,0),O40,1),"")</f>
        <v>K</v>
      </c>
      <c r="O40" s="3">
        <v>95</v>
      </c>
      <c r="P40" s="3" t="str">
        <f>IFERROR(MID(VLOOKUP($B40,Seqs!$A:$B,2,0),Q40,1),"")</f>
        <v>Y</v>
      </c>
      <c r="Q40" s="3">
        <v>97</v>
      </c>
      <c r="R40" s="3" t="str">
        <f>IFERROR(MID(VLOOKUP($B40,Seqs!$A:$B,2,0),S40,1),"")</f>
        <v>L</v>
      </c>
      <c r="S40" s="3">
        <v>100</v>
      </c>
      <c r="T40" s="3" t="str">
        <f>IFERROR(MID(VLOOKUP($B40,Seqs!$A:$B,2,0),U40,1),"")</f>
        <v>G</v>
      </c>
      <c r="U40" s="3">
        <v>101</v>
      </c>
      <c r="V40" s="3" t="str">
        <f>IFERROR(MID(VLOOKUP($B40,Seqs!$A:$B,2,0),W40,1),"")</f>
        <v>K</v>
      </c>
      <c r="W40" s="3">
        <v>136</v>
      </c>
      <c r="X40" s="3" t="str">
        <f>IFERROR(MID(VLOOKUP($B40,Seqs!$A:$B,2,0),Y40,1),"")</f>
        <v>P</v>
      </c>
      <c r="Y40" s="3">
        <v>137</v>
      </c>
      <c r="Z40" s="3" t="str">
        <f>IFERROR(MID(VLOOKUP($B40,Seqs!$A:$B,2,0),AA40,1),"")</f>
        <v>R</v>
      </c>
      <c r="AA40" s="3">
        <v>144</v>
      </c>
      <c r="AB40" s="3" t="str">
        <f>IFERROR(MID(VLOOKUP($B40,Seqs!$A:$B,2,0),AC40,1),"")</f>
        <v>T</v>
      </c>
      <c r="AC40" s="3">
        <v>146</v>
      </c>
      <c r="AD40" s="3" t="str">
        <f>IFERROR(MID(VLOOKUP($B40,Seqs!$A:$B,2,0),AE40,1),"")</f>
        <v>G</v>
      </c>
      <c r="AE40" s="3">
        <v>176</v>
      </c>
      <c r="AF40" s="3" t="str">
        <f>IFERROR(MID(VLOOKUP($B40,Seqs!$A:$B,2,0),AG40,1),"")</f>
        <v>C</v>
      </c>
      <c r="AG40" s="3">
        <v>185</v>
      </c>
      <c r="AH40" s="3" t="str">
        <f>IFERROR(MID(VLOOKUP($B40,Seqs!$A:$B,2,0),AI40,1),"")</f>
        <v>I</v>
      </c>
      <c r="AI40" s="3">
        <v>187</v>
      </c>
      <c r="AJ40" s="3" t="str">
        <f>IFERROR(MID(VLOOKUP($B40,Seqs!$A:$B,2,0),AK40,1),"")</f>
        <v>N</v>
      </c>
      <c r="AK40" s="3">
        <v>192</v>
      </c>
      <c r="AL40" s="3" t="str">
        <f>IFERROR(MID(VLOOKUP($B40,Seqs!$A:$B,2,0),AM40,1),"")</f>
        <v>L</v>
      </c>
      <c r="AM40" s="3">
        <v>220</v>
      </c>
      <c r="AN40" s="3" t="str">
        <f>IFERROR(MID(VLOOKUP($B40,Seqs!$A:$B,2,0),AO40,1),"")</f>
        <v>R</v>
      </c>
      <c r="AO40" s="3">
        <v>396</v>
      </c>
      <c r="AP40" s="3" t="str">
        <f>IFERROR(MID(VLOOKUP($B40,Seqs!$A:$B,2,0),AQ40,1),"")</f>
        <v>C</v>
      </c>
      <c r="AQ40" s="3">
        <v>426</v>
      </c>
      <c r="AR40" s="3" t="str">
        <f>IFERROR(MID(VLOOKUP($B40,Seqs!$A:$B,2,0),AS40,1),"")</f>
        <v>P</v>
      </c>
      <c r="AS40" s="3">
        <v>431</v>
      </c>
      <c r="AT40" s="3" t="str">
        <f>IFERROR(MID(VLOOKUP($B40,Seqs!$A:$B,2,0),AU40,1),"")</f>
        <v>C</v>
      </c>
      <c r="AU40" s="3">
        <v>456</v>
      </c>
      <c r="AV40" s="3" t="str">
        <f>IFERROR(MID(VLOOKUP($B40,Seqs!$A:$B,2,0),AW40,1),"")</f>
        <v>N</v>
      </c>
      <c r="AW40" s="3">
        <v>457</v>
      </c>
      <c r="AX40" s="3" t="str">
        <f>IFERROR(MID(VLOOKUP($B40,Seqs!$A:$B,2,0),AY40,1),"")</f>
        <v>L</v>
      </c>
      <c r="AY40" s="3">
        <v>469</v>
      </c>
      <c r="BA40" s="124" t="str">
        <f>VLOOKUP(B40,Classification!A:D,2,0)</f>
        <v>A</v>
      </c>
      <c r="BC40" s="1"/>
      <c r="BD40" s="1"/>
      <c r="BE40" s="57">
        <f t="shared" si="29"/>
        <v>251</v>
      </c>
      <c r="BF40" s="64" t="b">
        <f t="shared" si="30"/>
        <v>1</v>
      </c>
      <c r="BG40" s="116" t="s">
        <v>1513</v>
      </c>
      <c r="BH40" s="102" t="s">
        <v>1513</v>
      </c>
      <c r="BI40" s="102" t="s">
        <v>1513</v>
      </c>
      <c r="BJ40" s="102" t="s">
        <v>1513</v>
      </c>
      <c r="BK40" s="102" t="s">
        <v>1513</v>
      </c>
      <c r="BL40" s="102" t="s">
        <v>1513</v>
      </c>
      <c r="BM40" s="102" t="s">
        <v>1513</v>
      </c>
      <c r="BN40" s="102" t="s">
        <v>1513</v>
      </c>
      <c r="BO40" s="102" t="s">
        <v>1513</v>
      </c>
      <c r="BP40" s="102" t="s">
        <v>1513</v>
      </c>
      <c r="BQ40" s="102" t="s">
        <v>1513</v>
      </c>
      <c r="BR40" s="102" t="s">
        <v>1513</v>
      </c>
      <c r="BS40" s="116">
        <f t="shared" si="31"/>
        <v>26</v>
      </c>
      <c r="BT40" s="117">
        <f t="shared" si="32"/>
        <v>61</v>
      </c>
      <c r="BU40" s="118">
        <f t="shared" si="33"/>
        <v>65</v>
      </c>
      <c r="BV40" s="117">
        <f t="shared" si="34"/>
        <v>97</v>
      </c>
      <c r="BW40" s="118">
        <f t="shared" si="35"/>
        <v>101</v>
      </c>
      <c r="BX40" s="117">
        <f t="shared" si="36"/>
        <v>137</v>
      </c>
      <c r="BY40" s="118">
        <f t="shared" si="37"/>
        <v>146</v>
      </c>
      <c r="BZ40" s="117">
        <f t="shared" si="38"/>
        <v>185</v>
      </c>
      <c r="CA40" s="118">
        <f t="shared" si="39"/>
        <v>192</v>
      </c>
      <c r="CB40" s="117">
        <f t="shared" si="40"/>
        <v>396</v>
      </c>
      <c r="CC40" s="118">
        <f t="shared" si="41"/>
        <v>431</v>
      </c>
      <c r="CD40" s="117">
        <f t="shared" si="42"/>
        <v>457</v>
      </c>
      <c r="CE40" s="116">
        <f t="shared" si="43"/>
        <v>60</v>
      </c>
      <c r="CF40" s="117">
        <f t="shared" si="44"/>
        <v>64</v>
      </c>
      <c r="CG40" s="118">
        <f t="shared" si="45"/>
        <v>95</v>
      </c>
      <c r="CH40" s="118">
        <f t="shared" si="46"/>
        <v>100</v>
      </c>
      <c r="CI40" s="118">
        <f t="shared" si="47"/>
        <v>136</v>
      </c>
      <c r="CJ40" s="118">
        <f t="shared" si="48"/>
        <v>144</v>
      </c>
      <c r="CK40" s="118">
        <f t="shared" si="49"/>
        <v>176</v>
      </c>
      <c r="CL40" s="118">
        <f t="shared" si="50"/>
        <v>187</v>
      </c>
      <c r="CM40" s="118">
        <f t="shared" si="51"/>
        <v>220</v>
      </c>
      <c r="CN40" s="118">
        <f t="shared" si="52"/>
        <v>426</v>
      </c>
      <c r="CO40" s="118">
        <f t="shared" si="53"/>
        <v>456</v>
      </c>
      <c r="CP40" s="118">
        <f t="shared" si="54"/>
        <v>469</v>
      </c>
      <c r="CQ40" s="57">
        <f t="shared" si="55"/>
        <v>1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</row>
    <row r="41" spans="1:1026" x14ac:dyDescent="0.2">
      <c r="A41" s="3" t="str">
        <f t="shared" si="28"/>
        <v>adrb1_melga__wt</v>
      </c>
      <c r="B41" s="3" t="s">
        <v>1107</v>
      </c>
      <c r="C41" s="3" t="s">
        <v>293</v>
      </c>
      <c r="D41" s="3" t="str">
        <f>IFERROR(MID(VLOOKUP($B41,Seqs!$A:$B,2,0),E41,1),"")</f>
        <v>A</v>
      </c>
      <c r="E41" s="3">
        <v>33</v>
      </c>
      <c r="F41" s="3" t="str">
        <f>IFERROR(MID(VLOOKUP($B41,Seqs!$A:$B,2,0),G41,1),"")</f>
        <v>T</v>
      </c>
      <c r="G41" s="3">
        <v>69</v>
      </c>
      <c r="H41" s="3" t="str">
        <f>IFERROR(MID(VLOOKUP($B41,Seqs!$A:$B,2,0),I41,1),"")</f>
        <v>Q</v>
      </c>
      <c r="I41" s="57">
        <v>70</v>
      </c>
      <c r="J41" s="3" t="str">
        <f>IFERROR(MID(VLOOKUP($B41,Seqs!$A:$B,2,0),K41,1),"")</f>
        <v>Q</v>
      </c>
      <c r="K41" s="57">
        <v>73</v>
      </c>
      <c r="L41" s="3" t="str">
        <f>IFERROR(MID(VLOOKUP($B41,Seqs!$A:$B,2,0),M41,1),"")</f>
        <v>T</v>
      </c>
      <c r="M41" s="3">
        <v>74</v>
      </c>
      <c r="N41" s="3" t="str">
        <f>IFERROR(MID(VLOOKUP($B41,Seqs!$A:$B,2,0),O41,1),"")</f>
        <v>R</v>
      </c>
      <c r="O41" s="3">
        <v>104</v>
      </c>
      <c r="P41" s="3" t="str">
        <f>IFERROR(MID(VLOOKUP($B41,Seqs!$A:$B,2,0),Q41,1),"")</f>
        <v>T</v>
      </c>
      <c r="Q41" s="3">
        <v>106</v>
      </c>
      <c r="R41" s="3" t="str">
        <f>IFERROR(MID(VLOOKUP($B41,Seqs!$A:$B,2,0),S41,1),"")</f>
        <v>W</v>
      </c>
      <c r="S41" s="3">
        <v>109</v>
      </c>
      <c r="T41" s="3" t="str">
        <f>IFERROR(MID(VLOOKUP($B41,Seqs!$A:$B,2,0),U41,1),"")</f>
        <v>G</v>
      </c>
      <c r="U41" s="3">
        <v>110</v>
      </c>
      <c r="V41" s="3" t="str">
        <f>IFERROR(MID(VLOOKUP($B41,Seqs!$A:$B,2,0),W41,1),"")</f>
        <v>S</v>
      </c>
      <c r="W41" s="3">
        <v>145</v>
      </c>
      <c r="X41" s="3" t="str">
        <f>IFERROR(MID(VLOOKUP($B41,Seqs!$A:$B,2,0),Y41,1),"")</f>
        <v>P</v>
      </c>
      <c r="Y41" s="3">
        <v>146</v>
      </c>
      <c r="Z41" s="3" t="str">
        <f>IFERROR(MID(VLOOKUP($B41,Seqs!$A:$B,2,0),AA41,1),"")</f>
        <v>M</v>
      </c>
      <c r="AA41" s="3">
        <v>153</v>
      </c>
      <c r="AB41" s="3" t="str">
        <f>IFERROR(MID(VLOOKUP($B41,Seqs!$A:$B,2,0),AC41,1),"")</f>
        <v>R</v>
      </c>
      <c r="AC41" s="3">
        <v>155</v>
      </c>
      <c r="AD41" s="3" t="str">
        <f>IFERROR(MID(VLOOKUP($B41,Seqs!$A:$B,2,0),AE41,1),"")</f>
        <v>H</v>
      </c>
      <c r="AE41" s="3">
        <v>180</v>
      </c>
      <c r="AF41" s="3" t="str">
        <f>IFERROR(MID(VLOOKUP($B41,Seqs!$A:$B,2,0),AG41,1),"")</f>
        <v>C</v>
      </c>
      <c r="AG41" s="3">
        <v>199</v>
      </c>
      <c r="AH41" s="3" t="str">
        <f>IFERROR(MID(VLOOKUP($B41,Seqs!$A:$B,2,0),AI41,1),"")</f>
        <v>F</v>
      </c>
      <c r="AI41" s="3">
        <v>201</v>
      </c>
      <c r="AJ41" s="3" t="str">
        <f>IFERROR(MID(VLOOKUP($B41,Seqs!$A:$B,2,0),AK41,1),"")</f>
        <v>N</v>
      </c>
      <c r="AK41" s="3">
        <v>204</v>
      </c>
      <c r="AL41" s="3" t="str">
        <f>IFERROR(MID(VLOOKUP($B41,Seqs!$A:$B,2,0),AM41,1),"")</f>
        <v>E</v>
      </c>
      <c r="AM41" s="3">
        <v>245</v>
      </c>
      <c r="AN41" s="3" t="str">
        <f>IFERROR(MID(VLOOKUP($B41,Seqs!$A:$B,2,0),AO41,1),"")</f>
        <v>R</v>
      </c>
      <c r="AO41" s="3">
        <v>275</v>
      </c>
      <c r="AP41" s="3" t="str">
        <f>IFERROR(MID(VLOOKUP($B41,Seqs!$A:$B,2,0),AQ41,1),"")</f>
        <v>N</v>
      </c>
      <c r="AQ41" s="3">
        <v>316</v>
      </c>
      <c r="AR41" s="3" t="str">
        <f>IFERROR(MID(VLOOKUP($B41,Seqs!$A:$B,2,0),AS41,1),"")</f>
        <v>P</v>
      </c>
      <c r="AS41" s="3">
        <v>321</v>
      </c>
      <c r="AT41" s="3" t="str">
        <f>IFERROR(MID(VLOOKUP($B41,Seqs!$A:$B,2,0),AU41,1),"")</f>
        <v>R</v>
      </c>
      <c r="AU41" s="3">
        <v>345</v>
      </c>
      <c r="AV41" s="3" t="str">
        <f>IFERROR(MID(VLOOKUP($B41,Seqs!$A:$B,2,0),AW41,1),"")</f>
        <v>S</v>
      </c>
      <c r="AW41" s="3">
        <v>346</v>
      </c>
      <c r="AX41" s="3" t="str">
        <f>IFERROR(MID(VLOOKUP($B41,Seqs!$A:$B,2,0),AY41,1),"")</f>
        <v>C</v>
      </c>
      <c r="AY41" s="3">
        <v>358</v>
      </c>
      <c r="BA41" s="124" t="str">
        <f>VLOOKUP(B41,Classification!A:D,2,0)</f>
        <v>A</v>
      </c>
      <c r="BC41" s="3" t="s">
        <v>1384</v>
      </c>
      <c r="BD41" s="72">
        <f>S41-Q41+1</f>
        <v>4</v>
      </c>
      <c r="BE41" s="57">
        <f t="shared" si="29"/>
        <v>271</v>
      </c>
      <c r="BF41" s="63" t="b">
        <f t="shared" si="30"/>
        <v>1</v>
      </c>
      <c r="BG41" s="116" t="s">
        <v>1513</v>
      </c>
      <c r="BH41" s="102" t="s">
        <v>1513</v>
      </c>
      <c r="BI41" s="102" t="s">
        <v>1513</v>
      </c>
      <c r="BJ41" s="102" t="s">
        <v>1513</v>
      </c>
      <c r="BK41" s="102" t="s">
        <v>1513</v>
      </c>
      <c r="BL41" s="102" t="s">
        <v>1513</v>
      </c>
      <c r="BM41" s="102" t="s">
        <v>1513</v>
      </c>
      <c r="BN41" s="102" t="s">
        <v>1513</v>
      </c>
      <c r="BO41" s="102" t="s">
        <v>1513</v>
      </c>
      <c r="BP41" s="102" t="s">
        <v>1513</v>
      </c>
      <c r="BQ41" s="102" t="s">
        <v>1513</v>
      </c>
      <c r="BR41" s="102" t="s">
        <v>1513</v>
      </c>
      <c r="BS41" s="116">
        <f t="shared" si="31"/>
        <v>33</v>
      </c>
      <c r="BT41" s="117">
        <f t="shared" si="32"/>
        <v>70</v>
      </c>
      <c r="BU41" s="118">
        <f t="shared" si="33"/>
        <v>74</v>
      </c>
      <c r="BV41" s="117">
        <f t="shared" si="34"/>
        <v>106</v>
      </c>
      <c r="BW41" s="118">
        <f t="shared" si="35"/>
        <v>110</v>
      </c>
      <c r="BX41" s="117">
        <f t="shared" si="36"/>
        <v>146</v>
      </c>
      <c r="BY41" s="118">
        <f t="shared" si="37"/>
        <v>155</v>
      </c>
      <c r="BZ41" s="117">
        <f t="shared" si="38"/>
        <v>199</v>
      </c>
      <c r="CA41" s="118">
        <f t="shared" si="39"/>
        <v>204</v>
      </c>
      <c r="CB41" s="117">
        <f t="shared" si="40"/>
        <v>275</v>
      </c>
      <c r="CC41" s="118">
        <f t="shared" si="41"/>
        <v>321</v>
      </c>
      <c r="CD41" s="117">
        <f t="shared" si="42"/>
        <v>346</v>
      </c>
      <c r="CE41" s="116">
        <f t="shared" si="43"/>
        <v>69</v>
      </c>
      <c r="CF41" s="117">
        <f t="shared" si="44"/>
        <v>73</v>
      </c>
      <c r="CG41" s="118">
        <f t="shared" si="45"/>
        <v>104</v>
      </c>
      <c r="CH41" s="118">
        <f t="shared" si="46"/>
        <v>109</v>
      </c>
      <c r="CI41" s="118">
        <f t="shared" si="47"/>
        <v>145</v>
      </c>
      <c r="CJ41" s="118">
        <f t="shared" si="48"/>
        <v>153</v>
      </c>
      <c r="CK41" s="118">
        <f t="shared" si="49"/>
        <v>180</v>
      </c>
      <c r="CL41" s="118">
        <f t="shared" si="50"/>
        <v>201</v>
      </c>
      <c r="CM41" s="118">
        <f t="shared" si="51"/>
        <v>245</v>
      </c>
      <c r="CN41" s="118">
        <f t="shared" si="52"/>
        <v>316</v>
      </c>
      <c r="CO41" s="118">
        <f t="shared" si="53"/>
        <v>345</v>
      </c>
      <c r="CP41" s="118">
        <f t="shared" si="54"/>
        <v>358</v>
      </c>
      <c r="CQ41" s="57">
        <f t="shared" si="55"/>
        <v>1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</row>
    <row r="42" spans="1:1026" x14ac:dyDescent="0.2">
      <c r="A42" s="3" t="str">
        <f t="shared" si="28"/>
        <v>adrb1_melga_5F8U</v>
      </c>
      <c r="B42" s="3" t="s">
        <v>1107</v>
      </c>
      <c r="C42" s="3" t="s">
        <v>1588</v>
      </c>
      <c r="D42" s="3" t="str">
        <f>IFERROR(MID(VLOOKUP($B42,Seqs!$A:$B,2,0),E42,1),"")</f>
        <v>W</v>
      </c>
      <c r="E42" s="3">
        <v>40</v>
      </c>
      <c r="F42" s="3" t="str">
        <f>IFERROR(MID(VLOOKUP($B42,Seqs!$A:$B,2,0),G42,1),"")</f>
        <v>T</v>
      </c>
      <c r="G42" s="3">
        <v>69</v>
      </c>
      <c r="H42" s="3" t="str">
        <f>IFERROR(MID(VLOOKUP($B42,Seqs!$A:$B,2,0),I42,1),"")</f>
        <v>Q</v>
      </c>
      <c r="I42" s="57">
        <v>70</v>
      </c>
      <c r="J42" s="3" t="str">
        <f>IFERROR(MID(VLOOKUP($B42,Seqs!$A:$B,2,0),K42,1),"")</f>
        <v>Q</v>
      </c>
      <c r="K42" s="57">
        <v>73</v>
      </c>
      <c r="L42" s="3" t="str">
        <f>IFERROR(MID(VLOOKUP($B42,Seqs!$A:$B,2,0),M42,1),"")</f>
        <v>T</v>
      </c>
      <c r="M42" s="3">
        <v>74</v>
      </c>
      <c r="N42" s="3" t="str">
        <f>IFERROR(MID(VLOOKUP($B42,Seqs!$A:$B,2,0),O42,1),"")</f>
        <v>R</v>
      </c>
      <c r="O42" s="3">
        <v>104</v>
      </c>
      <c r="P42" s="3" t="str">
        <f>IFERROR(MID(VLOOKUP($B42,Seqs!$A:$B,2,0),Q42,1),"")</f>
        <v>T</v>
      </c>
      <c r="Q42" s="3">
        <v>106</v>
      </c>
      <c r="R42" s="3" t="str">
        <f>IFERROR(MID(VLOOKUP($B42,Seqs!$A:$B,2,0),S42,1),"")</f>
        <v>W</v>
      </c>
      <c r="S42" s="3">
        <v>109</v>
      </c>
      <c r="T42" s="3" t="str">
        <f>IFERROR(MID(VLOOKUP($B42,Seqs!$A:$B,2,0),U42,1),"")</f>
        <v>G</v>
      </c>
      <c r="U42" s="3">
        <v>110</v>
      </c>
      <c r="V42" s="3" t="str">
        <f>IFERROR(MID(VLOOKUP($B42,Seqs!$A:$B,2,0),W42,1),"")</f>
        <v>S</v>
      </c>
      <c r="W42" s="3">
        <v>145</v>
      </c>
      <c r="X42" s="3" t="str">
        <f>IFERROR(MID(VLOOKUP($B42,Seqs!$A:$B,2,0),Y42,1),"")</f>
        <v>P</v>
      </c>
      <c r="Y42" s="3">
        <v>146</v>
      </c>
      <c r="Z42" s="3" t="str">
        <f>IFERROR(MID(VLOOKUP($B42,Seqs!$A:$B,2,0),AA42,1),"")</f>
        <v>M</v>
      </c>
      <c r="AA42" s="3">
        <v>153</v>
      </c>
      <c r="AB42" s="3" t="str">
        <f>IFERROR(MID(VLOOKUP($B42,Seqs!$A:$B,2,0),AC42,1),"")</f>
        <v>R</v>
      </c>
      <c r="AC42" s="3">
        <v>155</v>
      </c>
      <c r="AD42" s="3" t="str">
        <f>IFERROR(MID(VLOOKUP($B42,Seqs!$A:$B,2,0),AE42,1),"")</f>
        <v>H</v>
      </c>
      <c r="AE42" s="3">
        <v>180</v>
      </c>
      <c r="AF42" s="3" t="str">
        <f>IFERROR(MID(VLOOKUP($B42,Seqs!$A:$B,2,0),AG42,1),"")</f>
        <v>C</v>
      </c>
      <c r="AG42" s="3">
        <v>199</v>
      </c>
      <c r="AH42" s="3" t="str">
        <f>IFERROR(MID(VLOOKUP($B42,Seqs!$A:$B,2,0),AI42,1),"")</f>
        <v>F</v>
      </c>
      <c r="AI42" s="3">
        <v>201</v>
      </c>
      <c r="AJ42" s="3" t="str">
        <f>IFERROR(MID(VLOOKUP($B42,Seqs!$A:$B,2,0),AK42,1),"")</f>
        <v>N</v>
      </c>
      <c r="AK42" s="3">
        <v>204</v>
      </c>
      <c r="AL42" s="3" t="str">
        <f>IFERROR(MID(VLOOKUP($B42,Seqs!$A:$B,2,0),AM42,1),"")</f>
        <v>Q</v>
      </c>
      <c r="AM42" s="3">
        <v>237</v>
      </c>
      <c r="AN42" s="3" t="str">
        <f>IFERROR(MID(VLOOKUP($B42,Seqs!$A:$B,2,0),AO42,1),"")</f>
        <v>R</v>
      </c>
      <c r="AO42" s="127">
        <v>284</v>
      </c>
      <c r="AP42" s="3" t="str">
        <f>IFERROR(MID(VLOOKUP($B42,Seqs!$A:$B,2,0),AQ42,1),"")</f>
        <v>N</v>
      </c>
      <c r="AQ42" s="3">
        <v>316</v>
      </c>
      <c r="AR42" s="3" t="str">
        <f>IFERROR(MID(VLOOKUP($B42,Seqs!$A:$B,2,0),AS42,1),"")</f>
        <v>P</v>
      </c>
      <c r="AS42" s="3">
        <v>321</v>
      </c>
      <c r="AT42" s="3" t="str">
        <f>IFERROR(MID(VLOOKUP($B42,Seqs!$A:$B,2,0),AU42,1),"")</f>
        <v>R</v>
      </c>
      <c r="AU42" s="3">
        <v>345</v>
      </c>
      <c r="AV42" s="3" t="str">
        <f>IFERROR(MID(VLOOKUP($B42,Seqs!$A:$B,2,0),AW42,1),"")</f>
        <v>S</v>
      </c>
      <c r="AW42" s="3">
        <v>346</v>
      </c>
      <c r="AX42" s="3" t="str">
        <f>IFERROR(MID(VLOOKUP($B42,Seqs!$A:$B,2,0),AY42,1),"")</f>
        <v>C</v>
      </c>
      <c r="AY42" s="3">
        <v>358</v>
      </c>
      <c r="BA42" s="124" t="str">
        <f>VLOOKUP(B42,Classification!A:D,2,0)</f>
        <v>A</v>
      </c>
      <c r="BB42" s="90" t="s">
        <v>1596</v>
      </c>
      <c r="BC42" s="1"/>
      <c r="BD42" s="1"/>
      <c r="BE42" s="57">
        <f t="shared" si="29"/>
        <v>247</v>
      </c>
      <c r="BF42" s="63" t="b">
        <f t="shared" si="30"/>
        <v>1</v>
      </c>
      <c r="BG42" s="116" t="s">
        <v>1513</v>
      </c>
      <c r="BH42" s="102" t="s">
        <v>1513</v>
      </c>
      <c r="BI42" s="102" t="s">
        <v>1513</v>
      </c>
      <c r="BJ42" s="102" t="s">
        <v>1513</v>
      </c>
      <c r="BK42" s="102" t="s">
        <v>1513</v>
      </c>
      <c r="BL42" s="102" t="s">
        <v>1513</v>
      </c>
      <c r="BM42" s="102" t="s">
        <v>1513</v>
      </c>
      <c r="BN42" s="102" t="s">
        <v>1513</v>
      </c>
      <c r="BO42" s="102" t="s">
        <v>1513</v>
      </c>
      <c r="BP42" s="102" t="s">
        <v>1513</v>
      </c>
      <c r="BQ42" s="102" t="s">
        <v>1513</v>
      </c>
      <c r="BR42" s="102" t="s">
        <v>1513</v>
      </c>
      <c r="BS42" s="116">
        <f t="shared" si="31"/>
        <v>40</v>
      </c>
      <c r="BT42" s="117">
        <f t="shared" si="32"/>
        <v>70</v>
      </c>
      <c r="BU42" s="118">
        <f t="shared" si="33"/>
        <v>74</v>
      </c>
      <c r="BV42" s="117">
        <f t="shared" si="34"/>
        <v>106</v>
      </c>
      <c r="BW42" s="118">
        <f t="shared" si="35"/>
        <v>110</v>
      </c>
      <c r="BX42" s="117">
        <f t="shared" si="36"/>
        <v>146</v>
      </c>
      <c r="BY42" s="118">
        <f t="shared" si="37"/>
        <v>155</v>
      </c>
      <c r="BZ42" s="117">
        <f t="shared" si="38"/>
        <v>199</v>
      </c>
      <c r="CA42" s="118">
        <f t="shared" si="39"/>
        <v>204</v>
      </c>
      <c r="CB42" s="117">
        <f t="shared" si="40"/>
        <v>284</v>
      </c>
      <c r="CC42" s="118">
        <f t="shared" si="41"/>
        <v>321</v>
      </c>
      <c r="CD42" s="117">
        <f t="shared" si="42"/>
        <v>346</v>
      </c>
      <c r="CE42" s="116">
        <f t="shared" si="43"/>
        <v>69</v>
      </c>
      <c r="CF42" s="117">
        <f t="shared" si="44"/>
        <v>73</v>
      </c>
      <c r="CG42" s="118">
        <f t="shared" si="45"/>
        <v>104</v>
      </c>
      <c r="CH42" s="118">
        <f t="shared" si="46"/>
        <v>109</v>
      </c>
      <c r="CI42" s="118">
        <f t="shared" si="47"/>
        <v>145</v>
      </c>
      <c r="CJ42" s="118">
        <f t="shared" si="48"/>
        <v>153</v>
      </c>
      <c r="CK42" s="118">
        <f t="shared" si="49"/>
        <v>180</v>
      </c>
      <c r="CL42" s="118">
        <f t="shared" si="50"/>
        <v>201</v>
      </c>
      <c r="CM42" s="118">
        <f t="shared" si="51"/>
        <v>237</v>
      </c>
      <c r="CN42" s="118">
        <f t="shared" si="52"/>
        <v>316</v>
      </c>
      <c r="CO42" s="118">
        <f t="shared" si="53"/>
        <v>345</v>
      </c>
      <c r="CP42" s="118">
        <f t="shared" si="54"/>
        <v>358</v>
      </c>
      <c r="CQ42" s="57">
        <f t="shared" si="55"/>
        <v>1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</row>
    <row r="43" spans="1:1026" x14ac:dyDescent="0.2">
      <c r="A43" s="3" t="str">
        <f t="shared" si="28"/>
        <v>adrb1_melga_2Y00</v>
      </c>
      <c r="B43" s="3" t="s">
        <v>1107</v>
      </c>
      <c r="C43" s="3" t="s">
        <v>1228</v>
      </c>
      <c r="D43" s="3" t="str">
        <f>IFERROR(MID(VLOOKUP($B43,Seqs!$A:$B,2,0),E43,1),"")</f>
        <v>A</v>
      </c>
      <c r="E43" s="3">
        <v>33</v>
      </c>
      <c r="F43" s="3" t="str">
        <f>IFERROR(MID(VLOOKUP($B43,Seqs!$A:$B,2,0),G43,1),"")</f>
        <v>T</v>
      </c>
      <c r="G43" s="3">
        <v>69</v>
      </c>
      <c r="H43" s="3" t="str">
        <f>IFERROR(MID(VLOOKUP($B43,Seqs!$A:$B,2,0),I43,1),"")</f>
        <v>Q</v>
      </c>
      <c r="I43" s="57">
        <v>70</v>
      </c>
      <c r="J43" s="3" t="str">
        <f>IFERROR(MID(VLOOKUP($B43,Seqs!$A:$B,2,0),K43,1),"")</f>
        <v>Q</v>
      </c>
      <c r="K43" s="57">
        <v>73</v>
      </c>
      <c r="L43" s="3" t="str">
        <f>IFERROR(MID(VLOOKUP($B43,Seqs!$A:$B,2,0),M43,1),"")</f>
        <v>T</v>
      </c>
      <c r="M43" s="3">
        <v>74</v>
      </c>
      <c r="N43" s="3" t="str">
        <f>IFERROR(MID(VLOOKUP($B43,Seqs!$A:$B,2,0),O43,1),"")</f>
        <v>R</v>
      </c>
      <c r="O43" s="3">
        <v>104</v>
      </c>
      <c r="P43" s="3" t="str">
        <f>IFERROR(MID(VLOOKUP($B43,Seqs!$A:$B,2,0),Q43,1),"")</f>
        <v>T</v>
      </c>
      <c r="Q43" s="3">
        <v>106</v>
      </c>
      <c r="R43" s="3" t="str">
        <f>IFERROR(MID(VLOOKUP($B43,Seqs!$A:$B,2,0),S43,1),"")</f>
        <v>W</v>
      </c>
      <c r="S43" s="3">
        <v>109</v>
      </c>
      <c r="T43" s="3" t="str">
        <f>IFERROR(MID(VLOOKUP($B43,Seqs!$A:$B,2,0),U43,1),"")</f>
        <v>G</v>
      </c>
      <c r="U43" s="3">
        <v>110</v>
      </c>
      <c r="V43" s="3" t="str">
        <f>IFERROR(MID(VLOOKUP($B43,Seqs!$A:$B,2,0),W43,1),"")</f>
        <v>S</v>
      </c>
      <c r="W43" s="3">
        <v>145</v>
      </c>
      <c r="X43" s="3" t="str">
        <f>IFERROR(MID(VLOOKUP($B43,Seqs!$A:$B,2,0),Y43,1),"")</f>
        <v>P</v>
      </c>
      <c r="Y43" s="3">
        <v>146</v>
      </c>
      <c r="Z43" s="3" t="str">
        <f>IFERROR(MID(VLOOKUP($B43,Seqs!$A:$B,2,0),AA43,1),"")</f>
        <v>M</v>
      </c>
      <c r="AA43" s="3">
        <v>153</v>
      </c>
      <c r="AB43" s="3" t="str">
        <f>IFERROR(MID(VLOOKUP($B43,Seqs!$A:$B,2,0),AC43,1),"")</f>
        <v>R</v>
      </c>
      <c r="AC43" s="3">
        <v>155</v>
      </c>
      <c r="AD43" s="3" t="str">
        <f>IFERROR(MID(VLOOKUP($B43,Seqs!$A:$B,2,0),AE43,1),"")</f>
        <v>H</v>
      </c>
      <c r="AE43" s="3">
        <v>180</v>
      </c>
      <c r="AF43" s="3" t="str">
        <f>IFERROR(MID(VLOOKUP($B43,Seqs!$A:$B,2,0),AG43,1),"")</f>
        <v>C</v>
      </c>
      <c r="AG43" s="3">
        <v>199</v>
      </c>
      <c r="AH43" s="3" t="str">
        <f>IFERROR(MID(VLOOKUP($B43,Seqs!$A:$B,2,0),AI43,1),"")</f>
        <v>F</v>
      </c>
      <c r="AI43" s="3">
        <v>201</v>
      </c>
      <c r="AJ43" s="3" t="str">
        <f>IFERROR(MID(VLOOKUP($B43,Seqs!$A:$B,2,0),AK43,1),"")</f>
        <v>N</v>
      </c>
      <c r="AK43" s="3">
        <v>204</v>
      </c>
      <c r="AL43" s="3" t="str">
        <f>IFERROR(MID(VLOOKUP($B43,Seqs!$A:$B,2,0),AM43,1),"")</f>
        <v>I</v>
      </c>
      <c r="AM43" s="3">
        <v>238</v>
      </c>
      <c r="AN43" s="3" t="str">
        <f>IFERROR(MID(VLOOKUP($B43,Seqs!$A:$B,2,0),AO43,1),"")</f>
        <v>R</v>
      </c>
      <c r="AO43" s="3">
        <v>275</v>
      </c>
      <c r="AP43" s="3" t="str">
        <f>IFERROR(MID(VLOOKUP($B43,Seqs!$A:$B,2,0),AQ43,1),"")</f>
        <v>N</v>
      </c>
      <c r="AQ43" s="3">
        <v>316</v>
      </c>
      <c r="AR43" s="3" t="str">
        <f>IFERROR(MID(VLOOKUP($B43,Seqs!$A:$B,2,0),AS43,1),"")</f>
        <v>P</v>
      </c>
      <c r="AS43" s="3">
        <v>321</v>
      </c>
      <c r="AT43" s="3" t="str">
        <f>IFERROR(MID(VLOOKUP($B43,Seqs!$A:$B,2,0),AU43,1),"")</f>
        <v>R</v>
      </c>
      <c r="AU43" s="3">
        <v>345</v>
      </c>
      <c r="AV43" s="3" t="str">
        <f>IFERROR(MID(VLOOKUP($B43,Seqs!$A:$B,2,0),AW43,1),"")</f>
        <v>S</v>
      </c>
      <c r="AW43" s="3">
        <v>346</v>
      </c>
      <c r="AX43" s="3" t="str">
        <f>IFERROR(MID(VLOOKUP($B43,Seqs!$A:$B,2,0),AY43,1),"")</f>
        <v>C</v>
      </c>
      <c r="AY43" s="3">
        <v>358</v>
      </c>
      <c r="BA43" s="124" t="str">
        <f>VLOOKUP(B43,Classification!A:D,2,0)</f>
        <v>A</v>
      </c>
      <c r="BC43" s="1"/>
      <c r="BD43" s="1"/>
      <c r="BE43" s="57">
        <f t="shared" si="29"/>
        <v>264</v>
      </c>
      <c r="BF43" s="63" t="b">
        <f t="shared" si="30"/>
        <v>1</v>
      </c>
      <c r="BG43" s="116" t="s">
        <v>1513</v>
      </c>
      <c r="BH43" s="102" t="s">
        <v>1513</v>
      </c>
      <c r="BI43" s="102" t="s">
        <v>1513</v>
      </c>
      <c r="BJ43" s="102" t="s">
        <v>1513</v>
      </c>
      <c r="BK43" s="102" t="s">
        <v>1513</v>
      </c>
      <c r="BL43" s="102" t="s">
        <v>1513</v>
      </c>
      <c r="BM43" s="102" t="s">
        <v>1513</v>
      </c>
      <c r="BN43" s="102" t="s">
        <v>1513</v>
      </c>
      <c r="BO43" s="102" t="s">
        <v>1513</v>
      </c>
      <c r="BP43" s="102" t="s">
        <v>1513</v>
      </c>
      <c r="BQ43" s="102" t="s">
        <v>1513</v>
      </c>
      <c r="BR43" s="102" t="s">
        <v>1513</v>
      </c>
      <c r="BS43" s="116">
        <f t="shared" si="31"/>
        <v>33</v>
      </c>
      <c r="BT43" s="117">
        <f t="shared" si="32"/>
        <v>70</v>
      </c>
      <c r="BU43" s="118">
        <f t="shared" si="33"/>
        <v>74</v>
      </c>
      <c r="BV43" s="117">
        <f t="shared" si="34"/>
        <v>106</v>
      </c>
      <c r="BW43" s="118">
        <f t="shared" si="35"/>
        <v>110</v>
      </c>
      <c r="BX43" s="117">
        <f t="shared" si="36"/>
        <v>146</v>
      </c>
      <c r="BY43" s="118">
        <f t="shared" si="37"/>
        <v>155</v>
      </c>
      <c r="BZ43" s="117">
        <f t="shared" si="38"/>
        <v>199</v>
      </c>
      <c r="CA43" s="118">
        <f t="shared" si="39"/>
        <v>204</v>
      </c>
      <c r="CB43" s="117">
        <f t="shared" si="40"/>
        <v>275</v>
      </c>
      <c r="CC43" s="118">
        <f t="shared" si="41"/>
        <v>321</v>
      </c>
      <c r="CD43" s="117">
        <f t="shared" si="42"/>
        <v>346</v>
      </c>
      <c r="CE43" s="116">
        <f t="shared" si="43"/>
        <v>69</v>
      </c>
      <c r="CF43" s="117">
        <f t="shared" si="44"/>
        <v>73</v>
      </c>
      <c r="CG43" s="118">
        <f t="shared" si="45"/>
        <v>104</v>
      </c>
      <c r="CH43" s="118">
        <f t="shared" si="46"/>
        <v>109</v>
      </c>
      <c r="CI43" s="118">
        <f t="shared" si="47"/>
        <v>145</v>
      </c>
      <c r="CJ43" s="118">
        <f t="shared" si="48"/>
        <v>153</v>
      </c>
      <c r="CK43" s="118">
        <f t="shared" si="49"/>
        <v>180</v>
      </c>
      <c r="CL43" s="118">
        <f t="shared" si="50"/>
        <v>201</v>
      </c>
      <c r="CM43" s="118">
        <f t="shared" si="51"/>
        <v>238</v>
      </c>
      <c r="CN43" s="118">
        <f t="shared" si="52"/>
        <v>316</v>
      </c>
      <c r="CO43" s="118">
        <f t="shared" si="53"/>
        <v>345</v>
      </c>
      <c r="CP43" s="118">
        <f t="shared" si="54"/>
        <v>358</v>
      </c>
      <c r="CQ43" s="57">
        <f t="shared" si="55"/>
        <v>1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</row>
    <row r="44" spans="1:1026" x14ac:dyDescent="0.2">
      <c r="A44" s="3" t="str">
        <f t="shared" si="28"/>
        <v>adrb1_melga_2Y02</v>
      </c>
      <c r="B44" s="3" t="s">
        <v>1107</v>
      </c>
      <c r="C44" s="3" t="s">
        <v>1229</v>
      </c>
      <c r="D44" s="3" t="str">
        <f>IFERROR(MID(VLOOKUP($B44,Seqs!$A:$B,2,0),E44,1),"")</f>
        <v>A</v>
      </c>
      <c r="E44" s="3">
        <v>33</v>
      </c>
      <c r="F44" s="3" t="str">
        <f>IFERROR(MID(VLOOKUP($B44,Seqs!$A:$B,2,0),G44,1),"")</f>
        <v>T</v>
      </c>
      <c r="G44" s="3">
        <v>69</v>
      </c>
      <c r="H44" s="3" t="str">
        <f>IFERROR(MID(VLOOKUP($B44,Seqs!$A:$B,2,0),I44,1),"")</f>
        <v>Q</v>
      </c>
      <c r="I44" s="57">
        <v>70</v>
      </c>
      <c r="J44" s="3" t="str">
        <f>IFERROR(MID(VLOOKUP($B44,Seqs!$A:$B,2,0),K44,1),"")</f>
        <v>Q</v>
      </c>
      <c r="K44" s="57">
        <v>73</v>
      </c>
      <c r="L44" s="3" t="str">
        <f>IFERROR(MID(VLOOKUP($B44,Seqs!$A:$B,2,0),M44,1),"")</f>
        <v>T</v>
      </c>
      <c r="M44" s="3">
        <v>74</v>
      </c>
      <c r="N44" s="3" t="str">
        <f>IFERROR(MID(VLOOKUP($B44,Seqs!$A:$B,2,0),O44,1),"")</f>
        <v>R</v>
      </c>
      <c r="O44" s="3">
        <v>104</v>
      </c>
      <c r="P44" s="3" t="str">
        <f>IFERROR(MID(VLOOKUP($B44,Seqs!$A:$B,2,0),Q44,1),"")</f>
        <v>T</v>
      </c>
      <c r="Q44" s="3">
        <v>106</v>
      </c>
      <c r="R44" s="3" t="str">
        <f>IFERROR(MID(VLOOKUP($B44,Seqs!$A:$B,2,0),S44,1),"")</f>
        <v>W</v>
      </c>
      <c r="S44" s="3">
        <v>109</v>
      </c>
      <c r="T44" s="3" t="str">
        <f>IFERROR(MID(VLOOKUP($B44,Seqs!$A:$B,2,0),U44,1),"")</f>
        <v>G</v>
      </c>
      <c r="U44" s="3">
        <v>110</v>
      </c>
      <c r="V44" s="3" t="str">
        <f>IFERROR(MID(VLOOKUP($B44,Seqs!$A:$B,2,0),W44,1),"")</f>
        <v>S</v>
      </c>
      <c r="W44" s="3">
        <v>145</v>
      </c>
      <c r="X44" s="3" t="str">
        <f>IFERROR(MID(VLOOKUP($B44,Seqs!$A:$B,2,0),Y44,1),"")</f>
        <v>P</v>
      </c>
      <c r="Y44" s="3">
        <v>146</v>
      </c>
      <c r="Z44" s="3" t="str">
        <f>IFERROR(MID(VLOOKUP($B44,Seqs!$A:$B,2,0),AA44,1),"")</f>
        <v>M</v>
      </c>
      <c r="AA44" s="3">
        <v>153</v>
      </c>
      <c r="AB44" s="3" t="str">
        <f>IFERROR(MID(VLOOKUP($B44,Seqs!$A:$B,2,0),AC44,1),"")</f>
        <v>R</v>
      </c>
      <c r="AC44" s="3">
        <v>155</v>
      </c>
      <c r="AD44" s="3" t="str">
        <f>IFERROR(MID(VLOOKUP($B44,Seqs!$A:$B,2,0),AE44,1),"")</f>
        <v>H</v>
      </c>
      <c r="AE44" s="3">
        <v>180</v>
      </c>
      <c r="AF44" s="3" t="str">
        <f>IFERROR(MID(VLOOKUP($B44,Seqs!$A:$B,2,0),AG44,1),"")</f>
        <v>C</v>
      </c>
      <c r="AG44" s="3">
        <v>199</v>
      </c>
      <c r="AH44" s="3" t="str">
        <f>IFERROR(MID(VLOOKUP($B44,Seqs!$A:$B,2,0),AI44,1),"")</f>
        <v>F</v>
      </c>
      <c r="AI44" s="3">
        <v>201</v>
      </c>
      <c r="AJ44" s="3" t="str">
        <f>IFERROR(MID(VLOOKUP($B44,Seqs!$A:$B,2,0),AK44,1),"")</f>
        <v>N</v>
      </c>
      <c r="AK44" s="3">
        <v>204</v>
      </c>
      <c r="AL44" s="3" t="str">
        <f>IFERROR(MID(VLOOKUP($B44,Seqs!$A:$B,2,0),AM44,1),"")</f>
        <v>I</v>
      </c>
      <c r="AM44" s="3">
        <v>238</v>
      </c>
      <c r="AN44" s="3" t="str">
        <f>IFERROR(MID(VLOOKUP($B44,Seqs!$A:$B,2,0),AO44,1),"")</f>
        <v>R</v>
      </c>
      <c r="AO44" s="3">
        <v>275</v>
      </c>
      <c r="AP44" s="3" t="str">
        <f>IFERROR(MID(VLOOKUP($B44,Seqs!$A:$B,2,0),AQ44,1),"")</f>
        <v>N</v>
      </c>
      <c r="AQ44" s="3">
        <v>316</v>
      </c>
      <c r="AR44" s="3" t="str">
        <f>IFERROR(MID(VLOOKUP($B44,Seqs!$A:$B,2,0),AS44,1),"")</f>
        <v>P</v>
      </c>
      <c r="AS44" s="3">
        <v>321</v>
      </c>
      <c r="AT44" s="3" t="str">
        <f>IFERROR(MID(VLOOKUP($B44,Seqs!$A:$B,2,0),AU44,1),"")</f>
        <v>R</v>
      </c>
      <c r="AU44" s="3">
        <v>345</v>
      </c>
      <c r="AV44" s="3" t="str">
        <f>IFERROR(MID(VLOOKUP($B44,Seqs!$A:$B,2,0),AW44,1),"")</f>
        <v>S</v>
      </c>
      <c r="AW44" s="3">
        <v>346</v>
      </c>
      <c r="AX44" s="3" t="str">
        <f>IFERROR(MID(VLOOKUP($B44,Seqs!$A:$B,2,0),AY44,1),"")</f>
        <v>C</v>
      </c>
      <c r="AY44" s="3">
        <v>358</v>
      </c>
      <c r="BA44" s="124" t="str">
        <f>VLOOKUP(B44,Classification!A:D,2,0)</f>
        <v>A</v>
      </c>
      <c r="BC44" s="1"/>
      <c r="BD44" s="4"/>
      <c r="BE44" s="57">
        <f t="shared" si="29"/>
        <v>264</v>
      </c>
      <c r="BF44" s="63" t="b">
        <f t="shared" si="30"/>
        <v>1</v>
      </c>
      <c r="BG44" s="116" t="s">
        <v>1513</v>
      </c>
      <c r="BH44" s="102" t="s">
        <v>1513</v>
      </c>
      <c r="BI44" s="102" t="s">
        <v>1513</v>
      </c>
      <c r="BJ44" s="102" t="s">
        <v>1513</v>
      </c>
      <c r="BK44" s="102" t="s">
        <v>1513</v>
      </c>
      <c r="BL44" s="102" t="s">
        <v>1513</v>
      </c>
      <c r="BM44" s="102" t="s">
        <v>1513</v>
      </c>
      <c r="BN44" s="102" t="s">
        <v>1513</v>
      </c>
      <c r="BO44" s="102" t="s">
        <v>1513</v>
      </c>
      <c r="BP44" s="102" t="s">
        <v>1513</v>
      </c>
      <c r="BQ44" s="102" t="s">
        <v>1513</v>
      </c>
      <c r="BR44" s="102" t="s">
        <v>1513</v>
      </c>
      <c r="BS44" s="116">
        <f t="shared" si="31"/>
        <v>33</v>
      </c>
      <c r="BT44" s="117">
        <f t="shared" si="32"/>
        <v>70</v>
      </c>
      <c r="BU44" s="118">
        <f t="shared" si="33"/>
        <v>74</v>
      </c>
      <c r="BV44" s="117">
        <f t="shared" si="34"/>
        <v>106</v>
      </c>
      <c r="BW44" s="118">
        <f t="shared" si="35"/>
        <v>110</v>
      </c>
      <c r="BX44" s="117">
        <f t="shared" si="36"/>
        <v>146</v>
      </c>
      <c r="BY44" s="118">
        <f t="shared" si="37"/>
        <v>155</v>
      </c>
      <c r="BZ44" s="117">
        <f t="shared" si="38"/>
        <v>199</v>
      </c>
      <c r="CA44" s="118">
        <f t="shared" si="39"/>
        <v>204</v>
      </c>
      <c r="CB44" s="117">
        <f t="shared" si="40"/>
        <v>275</v>
      </c>
      <c r="CC44" s="118">
        <f t="shared" si="41"/>
        <v>321</v>
      </c>
      <c r="CD44" s="117">
        <f t="shared" si="42"/>
        <v>346</v>
      </c>
      <c r="CE44" s="116">
        <f t="shared" si="43"/>
        <v>69</v>
      </c>
      <c r="CF44" s="117">
        <f t="shared" si="44"/>
        <v>73</v>
      </c>
      <c r="CG44" s="118">
        <f t="shared" si="45"/>
        <v>104</v>
      </c>
      <c r="CH44" s="118">
        <f t="shared" si="46"/>
        <v>109</v>
      </c>
      <c r="CI44" s="118">
        <f t="shared" si="47"/>
        <v>145</v>
      </c>
      <c r="CJ44" s="118">
        <f t="shared" si="48"/>
        <v>153</v>
      </c>
      <c r="CK44" s="118">
        <f t="shared" si="49"/>
        <v>180</v>
      </c>
      <c r="CL44" s="118">
        <f t="shared" si="50"/>
        <v>201</v>
      </c>
      <c r="CM44" s="118">
        <f t="shared" si="51"/>
        <v>238</v>
      </c>
      <c r="CN44" s="118">
        <f t="shared" si="52"/>
        <v>316</v>
      </c>
      <c r="CO44" s="118">
        <f t="shared" si="53"/>
        <v>345</v>
      </c>
      <c r="CP44" s="118">
        <f t="shared" si="54"/>
        <v>358</v>
      </c>
      <c r="CQ44" s="57">
        <f t="shared" si="55"/>
        <v>1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</row>
    <row r="45" spans="1:1026" x14ac:dyDescent="0.2">
      <c r="A45" s="3" t="str">
        <f t="shared" si="28"/>
        <v>adrb1_melga_2Y03</v>
      </c>
      <c r="B45" s="3" t="s">
        <v>1107</v>
      </c>
      <c r="C45" s="3" t="s">
        <v>1230</v>
      </c>
      <c r="D45" s="3" t="str">
        <f>IFERROR(MID(VLOOKUP($B45,Seqs!$A:$B,2,0),E45,1),"")</f>
        <v>A</v>
      </c>
      <c r="E45" s="3">
        <v>33</v>
      </c>
      <c r="F45" s="3" t="str">
        <f>IFERROR(MID(VLOOKUP($B45,Seqs!$A:$B,2,0),G45,1),"")</f>
        <v>T</v>
      </c>
      <c r="G45" s="3">
        <v>69</v>
      </c>
      <c r="H45" s="3" t="str">
        <f>IFERROR(MID(VLOOKUP($B45,Seqs!$A:$B,2,0),I45,1),"")</f>
        <v>Q</v>
      </c>
      <c r="I45" s="57">
        <v>70</v>
      </c>
      <c r="J45" s="3" t="str">
        <f>IFERROR(MID(VLOOKUP($B45,Seqs!$A:$B,2,0),K45,1),"")</f>
        <v>Q</v>
      </c>
      <c r="K45" s="57">
        <v>73</v>
      </c>
      <c r="L45" s="3" t="str">
        <f>IFERROR(MID(VLOOKUP($B45,Seqs!$A:$B,2,0),M45,1),"")</f>
        <v>T</v>
      </c>
      <c r="M45" s="3">
        <v>74</v>
      </c>
      <c r="N45" s="3" t="str">
        <f>IFERROR(MID(VLOOKUP($B45,Seqs!$A:$B,2,0),O45,1),"")</f>
        <v>R</v>
      </c>
      <c r="O45" s="3">
        <v>104</v>
      </c>
      <c r="P45" s="3" t="str">
        <f>IFERROR(MID(VLOOKUP($B45,Seqs!$A:$B,2,0),Q45,1),"")</f>
        <v>T</v>
      </c>
      <c r="Q45" s="3">
        <v>106</v>
      </c>
      <c r="R45" s="3" t="str">
        <f>IFERROR(MID(VLOOKUP($B45,Seqs!$A:$B,2,0),S45,1),"")</f>
        <v>W</v>
      </c>
      <c r="S45" s="3">
        <v>109</v>
      </c>
      <c r="T45" s="3" t="str">
        <f>IFERROR(MID(VLOOKUP($B45,Seqs!$A:$B,2,0),U45,1),"")</f>
        <v>G</v>
      </c>
      <c r="U45" s="3">
        <v>110</v>
      </c>
      <c r="V45" s="3" t="str">
        <f>IFERROR(MID(VLOOKUP($B45,Seqs!$A:$B,2,0),W45,1),"")</f>
        <v>S</v>
      </c>
      <c r="W45" s="3">
        <v>145</v>
      </c>
      <c r="X45" s="3" t="str">
        <f>IFERROR(MID(VLOOKUP($B45,Seqs!$A:$B,2,0),Y45,1),"")</f>
        <v>P</v>
      </c>
      <c r="Y45" s="3">
        <v>146</v>
      </c>
      <c r="Z45" s="3" t="str">
        <f>IFERROR(MID(VLOOKUP($B45,Seqs!$A:$B,2,0),AA45,1),"")</f>
        <v>M</v>
      </c>
      <c r="AA45" s="3">
        <v>153</v>
      </c>
      <c r="AB45" s="3" t="str">
        <f>IFERROR(MID(VLOOKUP($B45,Seqs!$A:$B,2,0),AC45,1),"")</f>
        <v>R</v>
      </c>
      <c r="AC45" s="3">
        <v>155</v>
      </c>
      <c r="AD45" s="3" t="str">
        <f>IFERROR(MID(VLOOKUP($B45,Seqs!$A:$B,2,0),AE45,1),"")</f>
        <v>H</v>
      </c>
      <c r="AE45" s="3">
        <v>180</v>
      </c>
      <c r="AF45" s="3" t="str">
        <f>IFERROR(MID(VLOOKUP($B45,Seqs!$A:$B,2,0),AG45,1),"")</f>
        <v>C</v>
      </c>
      <c r="AG45" s="3">
        <v>199</v>
      </c>
      <c r="AH45" s="3" t="str">
        <f>IFERROR(MID(VLOOKUP($B45,Seqs!$A:$B,2,0),AI45,1),"")</f>
        <v>F</v>
      </c>
      <c r="AI45" s="3">
        <v>201</v>
      </c>
      <c r="AJ45" s="3" t="str">
        <f>IFERROR(MID(VLOOKUP($B45,Seqs!$A:$B,2,0),AK45,1),"")</f>
        <v>N</v>
      </c>
      <c r="AK45" s="3">
        <v>204</v>
      </c>
      <c r="AL45" s="3" t="str">
        <f>IFERROR(MID(VLOOKUP($B45,Seqs!$A:$B,2,0),AM45,1),"")</f>
        <v>I</v>
      </c>
      <c r="AM45" s="3">
        <v>238</v>
      </c>
      <c r="AN45" s="3" t="str">
        <f>IFERROR(MID(VLOOKUP($B45,Seqs!$A:$B,2,0),AO45,1),"")</f>
        <v>R</v>
      </c>
      <c r="AO45" s="3">
        <v>275</v>
      </c>
      <c r="AP45" s="3" t="str">
        <f>IFERROR(MID(VLOOKUP($B45,Seqs!$A:$B,2,0),AQ45,1),"")</f>
        <v>N</v>
      </c>
      <c r="AQ45" s="3">
        <v>316</v>
      </c>
      <c r="AR45" s="3" t="str">
        <f>IFERROR(MID(VLOOKUP($B45,Seqs!$A:$B,2,0),AS45,1),"")</f>
        <v>P</v>
      </c>
      <c r="AS45" s="3">
        <v>321</v>
      </c>
      <c r="AT45" s="3" t="str">
        <f>IFERROR(MID(VLOOKUP($B45,Seqs!$A:$B,2,0),AU45,1),"")</f>
        <v>R</v>
      </c>
      <c r="AU45" s="3">
        <v>345</v>
      </c>
      <c r="AV45" s="3" t="str">
        <f>IFERROR(MID(VLOOKUP($B45,Seqs!$A:$B,2,0),AW45,1),"")</f>
        <v>S</v>
      </c>
      <c r="AW45" s="3">
        <v>346</v>
      </c>
      <c r="AX45" s="3" t="str">
        <f>IFERROR(MID(VLOOKUP($B45,Seqs!$A:$B,2,0),AY45,1),"")</f>
        <v>C</v>
      </c>
      <c r="AY45" s="3">
        <v>358</v>
      </c>
      <c r="BA45" s="124" t="str">
        <f>VLOOKUP(B45,Classification!A:D,2,0)</f>
        <v>A</v>
      </c>
      <c r="BC45" s="1"/>
      <c r="BD45" s="1"/>
      <c r="BE45" s="57">
        <f t="shared" si="29"/>
        <v>264</v>
      </c>
      <c r="BF45" s="63" t="b">
        <f t="shared" si="30"/>
        <v>1</v>
      </c>
      <c r="BG45" s="116" t="s">
        <v>1513</v>
      </c>
      <c r="BH45" s="102" t="s">
        <v>1513</v>
      </c>
      <c r="BI45" s="102" t="s">
        <v>1513</v>
      </c>
      <c r="BJ45" s="102" t="s">
        <v>1513</v>
      </c>
      <c r="BK45" s="102" t="s">
        <v>1513</v>
      </c>
      <c r="BL45" s="102" t="s">
        <v>1513</v>
      </c>
      <c r="BM45" s="102" t="s">
        <v>1513</v>
      </c>
      <c r="BN45" s="102" t="s">
        <v>1513</v>
      </c>
      <c r="BO45" s="102" t="s">
        <v>1513</v>
      </c>
      <c r="BP45" s="102" t="s">
        <v>1513</v>
      </c>
      <c r="BQ45" s="102" t="s">
        <v>1513</v>
      </c>
      <c r="BR45" s="102" t="s">
        <v>1513</v>
      </c>
      <c r="BS45" s="116">
        <f t="shared" si="31"/>
        <v>33</v>
      </c>
      <c r="BT45" s="117">
        <f t="shared" si="32"/>
        <v>70</v>
      </c>
      <c r="BU45" s="118">
        <f t="shared" si="33"/>
        <v>74</v>
      </c>
      <c r="BV45" s="117">
        <f t="shared" si="34"/>
        <v>106</v>
      </c>
      <c r="BW45" s="118">
        <f t="shared" si="35"/>
        <v>110</v>
      </c>
      <c r="BX45" s="117">
        <f t="shared" si="36"/>
        <v>146</v>
      </c>
      <c r="BY45" s="118">
        <f t="shared" si="37"/>
        <v>155</v>
      </c>
      <c r="BZ45" s="117">
        <f t="shared" si="38"/>
        <v>199</v>
      </c>
      <c r="CA45" s="118">
        <f t="shared" si="39"/>
        <v>204</v>
      </c>
      <c r="CB45" s="117">
        <f t="shared" si="40"/>
        <v>275</v>
      </c>
      <c r="CC45" s="118">
        <f t="shared" si="41"/>
        <v>321</v>
      </c>
      <c r="CD45" s="117">
        <f t="shared" si="42"/>
        <v>346</v>
      </c>
      <c r="CE45" s="116">
        <f t="shared" si="43"/>
        <v>69</v>
      </c>
      <c r="CF45" s="117">
        <f t="shared" si="44"/>
        <v>73</v>
      </c>
      <c r="CG45" s="118">
        <f t="shared" si="45"/>
        <v>104</v>
      </c>
      <c r="CH45" s="118">
        <f t="shared" si="46"/>
        <v>109</v>
      </c>
      <c r="CI45" s="118">
        <f t="shared" si="47"/>
        <v>145</v>
      </c>
      <c r="CJ45" s="118">
        <f t="shared" si="48"/>
        <v>153</v>
      </c>
      <c r="CK45" s="118">
        <f t="shared" si="49"/>
        <v>180</v>
      </c>
      <c r="CL45" s="118">
        <f t="shared" si="50"/>
        <v>201</v>
      </c>
      <c r="CM45" s="118">
        <f t="shared" si="51"/>
        <v>238</v>
      </c>
      <c r="CN45" s="118">
        <f t="shared" si="52"/>
        <v>316</v>
      </c>
      <c r="CO45" s="118">
        <f t="shared" si="53"/>
        <v>345</v>
      </c>
      <c r="CP45" s="118">
        <f t="shared" si="54"/>
        <v>358</v>
      </c>
      <c r="CQ45" s="57">
        <f t="shared" si="55"/>
        <v>1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</row>
    <row r="46" spans="1:1026" x14ac:dyDescent="0.2">
      <c r="A46" s="3" t="str">
        <f t="shared" si="28"/>
        <v>adrb1_melga_2Y04</v>
      </c>
      <c r="B46" s="3" t="s">
        <v>1107</v>
      </c>
      <c r="C46" s="3" t="s">
        <v>1231</v>
      </c>
      <c r="D46" s="3" t="str">
        <f>IFERROR(MID(VLOOKUP($B46,Seqs!$A:$B,2,0),E46,1),"")</f>
        <v>A</v>
      </c>
      <c r="E46" s="3">
        <v>33</v>
      </c>
      <c r="F46" s="3" t="str">
        <f>IFERROR(MID(VLOOKUP($B46,Seqs!$A:$B,2,0),G46,1),"")</f>
        <v>T</v>
      </c>
      <c r="G46" s="3">
        <v>69</v>
      </c>
      <c r="H46" s="3" t="str">
        <f>IFERROR(MID(VLOOKUP($B46,Seqs!$A:$B,2,0),I46,1),"")</f>
        <v>Q</v>
      </c>
      <c r="I46" s="57">
        <v>70</v>
      </c>
      <c r="J46" s="3" t="str">
        <f>IFERROR(MID(VLOOKUP($B46,Seqs!$A:$B,2,0),K46,1),"")</f>
        <v>Q</v>
      </c>
      <c r="K46" s="57">
        <v>73</v>
      </c>
      <c r="L46" s="3" t="str">
        <f>IFERROR(MID(VLOOKUP($B46,Seqs!$A:$B,2,0),M46,1),"")</f>
        <v>T</v>
      </c>
      <c r="M46" s="3">
        <v>74</v>
      </c>
      <c r="N46" s="3" t="str">
        <f>IFERROR(MID(VLOOKUP($B46,Seqs!$A:$B,2,0),O46,1),"")</f>
        <v>R</v>
      </c>
      <c r="O46" s="3">
        <v>104</v>
      </c>
      <c r="P46" s="3" t="str">
        <f>IFERROR(MID(VLOOKUP($B46,Seqs!$A:$B,2,0),Q46,1),"")</f>
        <v>T</v>
      </c>
      <c r="Q46" s="3">
        <v>106</v>
      </c>
      <c r="R46" s="3" t="str">
        <f>IFERROR(MID(VLOOKUP($B46,Seqs!$A:$B,2,0),S46,1),"")</f>
        <v>W</v>
      </c>
      <c r="S46" s="3">
        <v>109</v>
      </c>
      <c r="T46" s="3" t="str">
        <f>IFERROR(MID(VLOOKUP($B46,Seqs!$A:$B,2,0),U46,1),"")</f>
        <v>G</v>
      </c>
      <c r="U46" s="3">
        <v>110</v>
      </c>
      <c r="V46" s="3" t="str">
        <f>IFERROR(MID(VLOOKUP($B46,Seqs!$A:$B,2,0),W46,1),"")</f>
        <v>S</v>
      </c>
      <c r="W46" s="3">
        <v>145</v>
      </c>
      <c r="X46" s="3" t="str">
        <f>IFERROR(MID(VLOOKUP($B46,Seqs!$A:$B,2,0),Y46,1),"")</f>
        <v>P</v>
      </c>
      <c r="Y46" s="3">
        <v>146</v>
      </c>
      <c r="Z46" s="3" t="str">
        <f>IFERROR(MID(VLOOKUP($B46,Seqs!$A:$B,2,0),AA46,1),"")</f>
        <v>M</v>
      </c>
      <c r="AA46" s="3">
        <v>153</v>
      </c>
      <c r="AB46" s="3" t="str">
        <f>IFERROR(MID(VLOOKUP($B46,Seqs!$A:$B,2,0),AC46,1),"")</f>
        <v>R</v>
      </c>
      <c r="AC46" s="3">
        <v>155</v>
      </c>
      <c r="AD46" s="3" t="str">
        <f>IFERROR(MID(VLOOKUP($B46,Seqs!$A:$B,2,0),AE46,1),"")</f>
        <v>H</v>
      </c>
      <c r="AE46" s="3">
        <v>180</v>
      </c>
      <c r="AF46" s="3" t="str">
        <f>IFERROR(MID(VLOOKUP($B46,Seqs!$A:$B,2,0),AG46,1),"")</f>
        <v>C</v>
      </c>
      <c r="AG46" s="3">
        <v>199</v>
      </c>
      <c r="AH46" s="3" t="str">
        <f>IFERROR(MID(VLOOKUP($B46,Seqs!$A:$B,2,0),AI46,1),"")</f>
        <v>F</v>
      </c>
      <c r="AI46" s="3">
        <v>201</v>
      </c>
      <c r="AJ46" s="3" t="str">
        <f>IFERROR(MID(VLOOKUP($B46,Seqs!$A:$B,2,0),AK46,1),"")</f>
        <v>N</v>
      </c>
      <c r="AK46" s="3">
        <v>204</v>
      </c>
      <c r="AL46" s="3" t="str">
        <f>IFERROR(MID(VLOOKUP($B46,Seqs!$A:$B,2,0),AM46,1),"")</f>
        <v>I</v>
      </c>
      <c r="AM46" s="3">
        <v>238</v>
      </c>
      <c r="AN46" s="3" t="str">
        <f>IFERROR(MID(VLOOKUP($B46,Seqs!$A:$B,2,0),AO46,1),"")</f>
        <v>R</v>
      </c>
      <c r="AO46" s="3">
        <v>275</v>
      </c>
      <c r="AP46" s="3" t="str">
        <f>IFERROR(MID(VLOOKUP($B46,Seqs!$A:$B,2,0),AQ46,1),"")</f>
        <v>N</v>
      </c>
      <c r="AQ46" s="3">
        <v>316</v>
      </c>
      <c r="AR46" s="3" t="str">
        <f>IFERROR(MID(VLOOKUP($B46,Seqs!$A:$B,2,0),AS46,1),"")</f>
        <v>P</v>
      </c>
      <c r="AS46" s="3">
        <v>321</v>
      </c>
      <c r="AT46" s="3" t="str">
        <f>IFERROR(MID(VLOOKUP($B46,Seqs!$A:$B,2,0),AU46,1),"")</f>
        <v>R</v>
      </c>
      <c r="AU46" s="3">
        <v>345</v>
      </c>
      <c r="AV46" s="3" t="str">
        <f>IFERROR(MID(VLOOKUP($B46,Seqs!$A:$B,2,0),AW46,1),"")</f>
        <v>S</v>
      </c>
      <c r="AW46" s="3">
        <v>346</v>
      </c>
      <c r="AX46" s="3" t="str">
        <f>IFERROR(MID(VLOOKUP($B46,Seqs!$A:$B,2,0),AY46,1),"")</f>
        <v>C</v>
      </c>
      <c r="AY46" s="3">
        <v>358</v>
      </c>
      <c r="BA46" s="124" t="str">
        <f>VLOOKUP(B46,Classification!A:D,2,0)</f>
        <v>A</v>
      </c>
      <c r="BC46" s="1"/>
      <c r="BD46" s="1"/>
      <c r="BE46" s="57">
        <f t="shared" si="29"/>
        <v>264</v>
      </c>
      <c r="BF46" s="63" t="b">
        <f t="shared" si="30"/>
        <v>1</v>
      </c>
      <c r="BG46" s="116" t="s">
        <v>1513</v>
      </c>
      <c r="BH46" s="102" t="s">
        <v>1513</v>
      </c>
      <c r="BI46" s="102" t="s">
        <v>1513</v>
      </c>
      <c r="BJ46" s="102" t="s">
        <v>1513</v>
      </c>
      <c r="BK46" s="102" t="s">
        <v>1513</v>
      </c>
      <c r="BL46" s="102" t="s">
        <v>1513</v>
      </c>
      <c r="BM46" s="102" t="s">
        <v>1513</v>
      </c>
      <c r="BN46" s="102" t="s">
        <v>1513</v>
      </c>
      <c r="BO46" s="102" t="s">
        <v>1513</v>
      </c>
      <c r="BP46" s="102" t="s">
        <v>1513</v>
      </c>
      <c r="BQ46" s="102" t="s">
        <v>1513</v>
      </c>
      <c r="BR46" s="102" t="s">
        <v>1513</v>
      </c>
      <c r="BS46" s="116">
        <f t="shared" si="31"/>
        <v>33</v>
      </c>
      <c r="BT46" s="117">
        <f t="shared" si="32"/>
        <v>70</v>
      </c>
      <c r="BU46" s="118">
        <f t="shared" si="33"/>
        <v>74</v>
      </c>
      <c r="BV46" s="117">
        <f t="shared" si="34"/>
        <v>106</v>
      </c>
      <c r="BW46" s="118">
        <f t="shared" si="35"/>
        <v>110</v>
      </c>
      <c r="BX46" s="117">
        <f t="shared" si="36"/>
        <v>146</v>
      </c>
      <c r="BY46" s="118">
        <f t="shared" si="37"/>
        <v>155</v>
      </c>
      <c r="BZ46" s="117">
        <f t="shared" si="38"/>
        <v>199</v>
      </c>
      <c r="CA46" s="118">
        <f t="shared" si="39"/>
        <v>204</v>
      </c>
      <c r="CB46" s="117">
        <f t="shared" si="40"/>
        <v>275</v>
      </c>
      <c r="CC46" s="118">
        <f t="shared" si="41"/>
        <v>321</v>
      </c>
      <c r="CD46" s="117">
        <f t="shared" si="42"/>
        <v>346</v>
      </c>
      <c r="CE46" s="116">
        <f t="shared" si="43"/>
        <v>69</v>
      </c>
      <c r="CF46" s="117">
        <f t="shared" si="44"/>
        <v>73</v>
      </c>
      <c r="CG46" s="118">
        <f t="shared" si="45"/>
        <v>104</v>
      </c>
      <c r="CH46" s="118">
        <f t="shared" si="46"/>
        <v>109</v>
      </c>
      <c r="CI46" s="118">
        <f t="shared" si="47"/>
        <v>145</v>
      </c>
      <c r="CJ46" s="118">
        <f t="shared" si="48"/>
        <v>153</v>
      </c>
      <c r="CK46" s="118">
        <f t="shared" si="49"/>
        <v>180</v>
      </c>
      <c r="CL46" s="118">
        <f t="shared" si="50"/>
        <v>201</v>
      </c>
      <c r="CM46" s="118">
        <f t="shared" si="51"/>
        <v>238</v>
      </c>
      <c r="CN46" s="118">
        <f t="shared" si="52"/>
        <v>316</v>
      </c>
      <c r="CO46" s="118">
        <f t="shared" si="53"/>
        <v>345</v>
      </c>
      <c r="CP46" s="118">
        <f t="shared" si="54"/>
        <v>358</v>
      </c>
      <c r="CQ46" s="57">
        <f t="shared" si="55"/>
        <v>1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</row>
    <row r="47" spans="1:1026" x14ac:dyDescent="0.2">
      <c r="A47" s="3" t="str">
        <f t="shared" si="28"/>
        <v>adrb1_melga_2YCW</v>
      </c>
      <c r="B47" s="3" t="s">
        <v>1107</v>
      </c>
      <c r="C47" s="3" t="s">
        <v>1232</v>
      </c>
      <c r="D47" s="3" t="str">
        <f>IFERROR(MID(VLOOKUP($B47,Seqs!$A:$B,2,0),E47,1),"")</f>
        <v>S</v>
      </c>
      <c r="E47" s="3">
        <v>37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57">
        <v>70</v>
      </c>
      <c r="J47" s="3" t="str">
        <f>IFERROR(MID(VLOOKUP($B47,Seqs!$A:$B,2,0),K47,1),"")</f>
        <v>Q</v>
      </c>
      <c r="K47" s="57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R</v>
      </c>
      <c r="AC47" s="3">
        <v>155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K</v>
      </c>
      <c r="AM47" s="3">
        <v>240</v>
      </c>
      <c r="AN47" s="3" t="str">
        <f>IFERROR(MID(VLOOKUP($B47,Seqs!$A:$B,2,0),AO47,1),"")</f>
        <v>L</v>
      </c>
      <c r="AO47" s="3">
        <v>289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BA47" s="124" t="str">
        <f>VLOOKUP(B47,Classification!A:D,2,0)</f>
        <v>A</v>
      </c>
      <c r="BC47" s="1"/>
      <c r="BD47" s="1"/>
      <c r="BE47" s="57">
        <f t="shared" si="29"/>
        <v>248</v>
      </c>
      <c r="BF47" s="63" t="b">
        <f t="shared" si="30"/>
        <v>1</v>
      </c>
      <c r="BG47" s="116" t="s">
        <v>1513</v>
      </c>
      <c r="BH47" s="102" t="s">
        <v>1513</v>
      </c>
      <c r="BI47" s="102" t="s">
        <v>1513</v>
      </c>
      <c r="BJ47" s="102" t="s">
        <v>1513</v>
      </c>
      <c r="BK47" s="102" t="s">
        <v>1513</v>
      </c>
      <c r="BL47" s="102" t="s">
        <v>1513</v>
      </c>
      <c r="BM47" s="102" t="s">
        <v>1513</v>
      </c>
      <c r="BN47" s="102" t="s">
        <v>1513</v>
      </c>
      <c r="BO47" s="102" t="s">
        <v>1513</v>
      </c>
      <c r="BP47" s="102" t="s">
        <v>1513</v>
      </c>
      <c r="BQ47" s="102" t="s">
        <v>1513</v>
      </c>
      <c r="BR47" s="102" t="s">
        <v>1513</v>
      </c>
      <c r="BS47" s="116">
        <f t="shared" si="31"/>
        <v>37</v>
      </c>
      <c r="BT47" s="117">
        <f t="shared" si="32"/>
        <v>70</v>
      </c>
      <c r="BU47" s="118">
        <f t="shared" si="33"/>
        <v>74</v>
      </c>
      <c r="BV47" s="117">
        <f t="shared" si="34"/>
        <v>106</v>
      </c>
      <c r="BW47" s="118">
        <f t="shared" si="35"/>
        <v>110</v>
      </c>
      <c r="BX47" s="117">
        <f t="shared" si="36"/>
        <v>146</v>
      </c>
      <c r="BY47" s="118">
        <f t="shared" si="37"/>
        <v>155</v>
      </c>
      <c r="BZ47" s="117">
        <f t="shared" si="38"/>
        <v>199</v>
      </c>
      <c r="CA47" s="118">
        <f t="shared" si="39"/>
        <v>204</v>
      </c>
      <c r="CB47" s="117">
        <f t="shared" si="40"/>
        <v>289</v>
      </c>
      <c r="CC47" s="118">
        <f t="shared" si="41"/>
        <v>321</v>
      </c>
      <c r="CD47" s="117">
        <f t="shared" si="42"/>
        <v>346</v>
      </c>
      <c r="CE47" s="116">
        <f t="shared" si="43"/>
        <v>69</v>
      </c>
      <c r="CF47" s="117">
        <f t="shared" si="44"/>
        <v>73</v>
      </c>
      <c r="CG47" s="118">
        <f t="shared" si="45"/>
        <v>104</v>
      </c>
      <c r="CH47" s="118">
        <f t="shared" si="46"/>
        <v>109</v>
      </c>
      <c r="CI47" s="118">
        <f t="shared" si="47"/>
        <v>145</v>
      </c>
      <c r="CJ47" s="118">
        <f t="shared" si="48"/>
        <v>153</v>
      </c>
      <c r="CK47" s="118">
        <f t="shared" si="49"/>
        <v>180</v>
      </c>
      <c r="CL47" s="118">
        <f t="shared" si="50"/>
        <v>201</v>
      </c>
      <c r="CM47" s="118">
        <f t="shared" si="51"/>
        <v>240</v>
      </c>
      <c r="CN47" s="118">
        <f t="shared" si="52"/>
        <v>316</v>
      </c>
      <c r="CO47" s="118">
        <f t="shared" si="53"/>
        <v>345</v>
      </c>
      <c r="CP47" s="118">
        <f t="shared" si="54"/>
        <v>358</v>
      </c>
      <c r="CQ47" s="57">
        <f t="shared" si="55"/>
        <v>1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</row>
    <row r="48" spans="1:1026" x14ac:dyDescent="0.2">
      <c r="A48" s="3" t="str">
        <f t="shared" si="28"/>
        <v>adrb1_melga_2YCZ</v>
      </c>
      <c r="B48" s="3" t="s">
        <v>1107</v>
      </c>
      <c r="C48" s="3" t="s">
        <v>1233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57">
        <v>70</v>
      </c>
      <c r="J48" s="3" t="str">
        <f>IFERROR(MID(VLOOKUP($B48,Seqs!$A:$B,2,0),K48,1),"")</f>
        <v>Q</v>
      </c>
      <c r="K48" s="57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R</v>
      </c>
      <c r="AC48" s="3">
        <v>155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K</v>
      </c>
      <c r="AM48" s="3">
        <v>240</v>
      </c>
      <c r="AN48" s="3" t="str">
        <f>IFERROR(MID(VLOOKUP($B48,Seqs!$A:$B,2,0),AO48,1),"")</f>
        <v>A</v>
      </c>
      <c r="AO48" s="3">
        <v>288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BA48" s="124" t="str">
        <f>VLOOKUP(B48,Classification!A:D,2,0)</f>
        <v>A</v>
      </c>
      <c r="BC48" s="1"/>
      <c r="BD48" s="35" t="s">
        <v>1314</v>
      </c>
      <c r="BE48" s="57">
        <f t="shared" si="29"/>
        <v>253</v>
      </c>
      <c r="BF48" s="63" t="b">
        <f t="shared" si="30"/>
        <v>1</v>
      </c>
      <c r="BG48" s="116" t="s">
        <v>1513</v>
      </c>
      <c r="BH48" s="102" t="s">
        <v>1513</v>
      </c>
      <c r="BI48" s="102" t="s">
        <v>1513</v>
      </c>
      <c r="BJ48" s="102" t="s">
        <v>1513</v>
      </c>
      <c r="BK48" s="102" t="s">
        <v>1513</v>
      </c>
      <c r="BL48" s="102" t="s">
        <v>1513</v>
      </c>
      <c r="BM48" s="102" t="s">
        <v>1513</v>
      </c>
      <c r="BN48" s="102" t="s">
        <v>1513</v>
      </c>
      <c r="BO48" s="102" t="s">
        <v>1513</v>
      </c>
      <c r="BP48" s="102" t="s">
        <v>1513</v>
      </c>
      <c r="BQ48" s="102" t="s">
        <v>1513</v>
      </c>
      <c r="BR48" s="102" t="s">
        <v>1513</v>
      </c>
      <c r="BS48" s="116">
        <f t="shared" si="31"/>
        <v>33</v>
      </c>
      <c r="BT48" s="117">
        <f t="shared" si="32"/>
        <v>70</v>
      </c>
      <c r="BU48" s="118">
        <f t="shared" si="33"/>
        <v>74</v>
      </c>
      <c r="BV48" s="117">
        <f t="shared" si="34"/>
        <v>106</v>
      </c>
      <c r="BW48" s="118">
        <f t="shared" si="35"/>
        <v>110</v>
      </c>
      <c r="BX48" s="117">
        <f t="shared" si="36"/>
        <v>146</v>
      </c>
      <c r="BY48" s="118">
        <f t="shared" si="37"/>
        <v>155</v>
      </c>
      <c r="BZ48" s="117">
        <f t="shared" si="38"/>
        <v>199</v>
      </c>
      <c r="CA48" s="118">
        <f t="shared" si="39"/>
        <v>204</v>
      </c>
      <c r="CB48" s="117">
        <f t="shared" si="40"/>
        <v>288</v>
      </c>
      <c r="CC48" s="118">
        <f t="shared" si="41"/>
        <v>321</v>
      </c>
      <c r="CD48" s="117">
        <f t="shared" si="42"/>
        <v>346</v>
      </c>
      <c r="CE48" s="116">
        <f t="shared" si="43"/>
        <v>69</v>
      </c>
      <c r="CF48" s="117">
        <f t="shared" si="44"/>
        <v>73</v>
      </c>
      <c r="CG48" s="118">
        <f t="shared" si="45"/>
        <v>104</v>
      </c>
      <c r="CH48" s="118">
        <f t="shared" si="46"/>
        <v>109</v>
      </c>
      <c r="CI48" s="118">
        <f t="shared" si="47"/>
        <v>145</v>
      </c>
      <c r="CJ48" s="118">
        <f t="shared" si="48"/>
        <v>153</v>
      </c>
      <c r="CK48" s="118">
        <f t="shared" si="49"/>
        <v>180</v>
      </c>
      <c r="CL48" s="118">
        <f t="shared" si="50"/>
        <v>201</v>
      </c>
      <c r="CM48" s="118">
        <f t="shared" si="51"/>
        <v>240</v>
      </c>
      <c r="CN48" s="118">
        <f t="shared" si="52"/>
        <v>316</v>
      </c>
      <c r="CO48" s="118">
        <f t="shared" si="53"/>
        <v>345</v>
      </c>
      <c r="CP48" s="118">
        <f t="shared" si="54"/>
        <v>358</v>
      </c>
      <c r="CQ48" s="57">
        <f t="shared" si="55"/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</row>
    <row r="49" spans="1:1026" x14ac:dyDescent="0.2">
      <c r="A49" s="3" t="str">
        <f t="shared" si="28"/>
        <v>adrb1_melga_3ZPQ</v>
      </c>
      <c r="B49" s="3" t="s">
        <v>1107</v>
      </c>
      <c r="C49" s="3" t="s">
        <v>1243</v>
      </c>
      <c r="D49" s="3" t="str">
        <f>IFERROR(MID(VLOOKUP($B49,Seqs!$A:$B,2,0),E49,1),"")</f>
        <v>S</v>
      </c>
      <c r="E49" s="3">
        <v>32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57">
        <v>70</v>
      </c>
      <c r="J49" s="3" t="str">
        <f>IFERROR(MID(VLOOKUP($B49,Seqs!$A:$B,2,0),K49,1),"")</f>
        <v>Q</v>
      </c>
      <c r="K49" s="57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R</v>
      </c>
      <c r="AC49" s="3">
        <v>155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BA49" s="124" t="str">
        <f>VLOOKUP(B49,Classification!A:D,2,0)</f>
        <v>A</v>
      </c>
      <c r="BC49" s="1"/>
      <c r="BD49" s="4"/>
      <c r="BE49" s="57">
        <f t="shared" si="29"/>
        <v>265</v>
      </c>
      <c r="BF49" s="63" t="b">
        <f t="shared" si="30"/>
        <v>1</v>
      </c>
      <c r="BG49" s="116" t="s">
        <v>1513</v>
      </c>
      <c r="BH49" s="102" t="s">
        <v>1513</v>
      </c>
      <c r="BI49" s="102" t="s">
        <v>1513</v>
      </c>
      <c r="BJ49" s="102" t="s">
        <v>1513</v>
      </c>
      <c r="BK49" s="102" t="s">
        <v>1513</v>
      </c>
      <c r="BL49" s="102" t="s">
        <v>1513</v>
      </c>
      <c r="BM49" s="102" t="s">
        <v>1513</v>
      </c>
      <c r="BN49" s="102" t="s">
        <v>1513</v>
      </c>
      <c r="BO49" s="102" t="s">
        <v>1513</v>
      </c>
      <c r="BP49" s="102" t="s">
        <v>1513</v>
      </c>
      <c r="BQ49" s="102" t="s">
        <v>1513</v>
      </c>
      <c r="BR49" s="102" t="s">
        <v>1513</v>
      </c>
      <c r="BS49" s="116">
        <f t="shared" si="31"/>
        <v>32</v>
      </c>
      <c r="BT49" s="117">
        <f t="shared" si="32"/>
        <v>70</v>
      </c>
      <c r="BU49" s="118">
        <f t="shared" si="33"/>
        <v>74</v>
      </c>
      <c r="BV49" s="117">
        <f t="shared" si="34"/>
        <v>106</v>
      </c>
      <c r="BW49" s="118">
        <f t="shared" si="35"/>
        <v>110</v>
      </c>
      <c r="BX49" s="117">
        <f t="shared" si="36"/>
        <v>146</v>
      </c>
      <c r="BY49" s="118">
        <f t="shared" si="37"/>
        <v>155</v>
      </c>
      <c r="BZ49" s="117">
        <f t="shared" si="38"/>
        <v>199</v>
      </c>
      <c r="CA49" s="118">
        <f t="shared" si="39"/>
        <v>204</v>
      </c>
      <c r="CB49" s="117">
        <f t="shared" si="40"/>
        <v>275</v>
      </c>
      <c r="CC49" s="118">
        <f t="shared" si="41"/>
        <v>321</v>
      </c>
      <c r="CD49" s="117">
        <f t="shared" si="42"/>
        <v>346</v>
      </c>
      <c r="CE49" s="116">
        <f t="shared" si="43"/>
        <v>69</v>
      </c>
      <c r="CF49" s="117">
        <f t="shared" si="44"/>
        <v>73</v>
      </c>
      <c r="CG49" s="118">
        <f t="shared" si="45"/>
        <v>104</v>
      </c>
      <c r="CH49" s="118">
        <f t="shared" si="46"/>
        <v>109</v>
      </c>
      <c r="CI49" s="118">
        <f t="shared" si="47"/>
        <v>145</v>
      </c>
      <c r="CJ49" s="118">
        <f t="shared" si="48"/>
        <v>153</v>
      </c>
      <c r="CK49" s="118">
        <f t="shared" si="49"/>
        <v>180</v>
      </c>
      <c r="CL49" s="118">
        <f t="shared" si="50"/>
        <v>201</v>
      </c>
      <c r="CM49" s="118">
        <f t="shared" si="51"/>
        <v>238</v>
      </c>
      <c r="CN49" s="118">
        <f t="shared" si="52"/>
        <v>316</v>
      </c>
      <c r="CO49" s="118">
        <f t="shared" si="53"/>
        <v>345</v>
      </c>
      <c r="CP49" s="118">
        <f t="shared" si="54"/>
        <v>358</v>
      </c>
      <c r="CQ49" s="57">
        <f t="shared" si="55"/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</row>
    <row r="50" spans="1:1026" x14ac:dyDescent="0.2">
      <c r="A50" s="3" t="str">
        <f t="shared" si="28"/>
        <v>adrb1_melga_3ZPR</v>
      </c>
      <c r="B50" s="3" t="s">
        <v>1107</v>
      </c>
      <c r="C50" s="3" t="s">
        <v>1244</v>
      </c>
      <c r="D50" s="3" t="str">
        <f>IFERROR(MID(VLOOKUP($B50,Seqs!$A:$B,2,0),E50,1),"")</f>
        <v>S</v>
      </c>
      <c r="E50" s="3">
        <v>32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57">
        <v>70</v>
      </c>
      <c r="J50" s="3" t="str">
        <f>IFERROR(MID(VLOOKUP($B50,Seqs!$A:$B,2,0),K50,1),"")</f>
        <v>Q</v>
      </c>
      <c r="K50" s="57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R</v>
      </c>
      <c r="AC50" s="3">
        <v>155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BA50" s="124" t="str">
        <f>VLOOKUP(B50,Classification!A:D,2,0)</f>
        <v>A</v>
      </c>
      <c r="BC50" s="1"/>
      <c r="BD50" s="1"/>
      <c r="BE50" s="57">
        <f t="shared" si="29"/>
        <v>265</v>
      </c>
      <c r="BF50" s="63" t="b">
        <f t="shared" si="30"/>
        <v>1</v>
      </c>
      <c r="BG50" s="116" t="s">
        <v>1513</v>
      </c>
      <c r="BH50" s="102" t="s">
        <v>1513</v>
      </c>
      <c r="BI50" s="102" t="s">
        <v>1513</v>
      </c>
      <c r="BJ50" s="102" t="s">
        <v>1513</v>
      </c>
      <c r="BK50" s="102" t="s">
        <v>1513</v>
      </c>
      <c r="BL50" s="102" t="s">
        <v>1513</v>
      </c>
      <c r="BM50" s="102" t="s">
        <v>1513</v>
      </c>
      <c r="BN50" s="102" t="s">
        <v>1513</v>
      </c>
      <c r="BO50" s="102" t="s">
        <v>1513</v>
      </c>
      <c r="BP50" s="102" t="s">
        <v>1513</v>
      </c>
      <c r="BQ50" s="102" t="s">
        <v>1513</v>
      </c>
      <c r="BR50" s="102" t="s">
        <v>1513</v>
      </c>
      <c r="BS50" s="116">
        <f t="shared" si="31"/>
        <v>32</v>
      </c>
      <c r="BT50" s="117">
        <f t="shared" si="32"/>
        <v>70</v>
      </c>
      <c r="BU50" s="118">
        <f t="shared" si="33"/>
        <v>74</v>
      </c>
      <c r="BV50" s="117">
        <f t="shared" si="34"/>
        <v>106</v>
      </c>
      <c r="BW50" s="118">
        <f t="shared" si="35"/>
        <v>110</v>
      </c>
      <c r="BX50" s="117">
        <f t="shared" si="36"/>
        <v>146</v>
      </c>
      <c r="BY50" s="118">
        <f t="shared" si="37"/>
        <v>155</v>
      </c>
      <c r="BZ50" s="117">
        <f t="shared" si="38"/>
        <v>199</v>
      </c>
      <c r="CA50" s="118">
        <f t="shared" si="39"/>
        <v>204</v>
      </c>
      <c r="CB50" s="117">
        <f t="shared" si="40"/>
        <v>275</v>
      </c>
      <c r="CC50" s="118">
        <f t="shared" si="41"/>
        <v>321</v>
      </c>
      <c r="CD50" s="117">
        <f t="shared" si="42"/>
        <v>346</v>
      </c>
      <c r="CE50" s="116">
        <f t="shared" si="43"/>
        <v>69</v>
      </c>
      <c r="CF50" s="117">
        <f t="shared" si="44"/>
        <v>73</v>
      </c>
      <c r="CG50" s="118">
        <f t="shared" si="45"/>
        <v>104</v>
      </c>
      <c r="CH50" s="118">
        <f t="shared" si="46"/>
        <v>109</v>
      </c>
      <c r="CI50" s="118">
        <f t="shared" si="47"/>
        <v>145</v>
      </c>
      <c r="CJ50" s="118">
        <f t="shared" si="48"/>
        <v>153</v>
      </c>
      <c r="CK50" s="118">
        <f t="shared" si="49"/>
        <v>180</v>
      </c>
      <c r="CL50" s="118">
        <f t="shared" si="50"/>
        <v>201</v>
      </c>
      <c r="CM50" s="118">
        <f t="shared" si="51"/>
        <v>238</v>
      </c>
      <c r="CN50" s="118">
        <f t="shared" si="52"/>
        <v>316</v>
      </c>
      <c r="CO50" s="118">
        <f t="shared" si="53"/>
        <v>345</v>
      </c>
      <c r="CP50" s="118">
        <f t="shared" si="54"/>
        <v>358</v>
      </c>
      <c r="CQ50" s="57">
        <f t="shared" si="55"/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</row>
    <row r="51" spans="1:1026" x14ac:dyDescent="0.2">
      <c r="A51" s="3" t="str">
        <f t="shared" si="28"/>
        <v>adrb1_melga_4AMI</v>
      </c>
      <c r="B51" s="3" t="s">
        <v>1107</v>
      </c>
      <c r="C51" s="3" t="s">
        <v>1245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57">
        <v>70</v>
      </c>
      <c r="J51" s="3" t="str">
        <f>IFERROR(MID(VLOOKUP($B51,Seqs!$A:$B,2,0),K51,1),"")</f>
        <v>Q</v>
      </c>
      <c r="K51" s="57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R</v>
      </c>
      <c r="AC51" s="3">
        <v>155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E</v>
      </c>
      <c r="AM51" s="3">
        <v>236</v>
      </c>
      <c r="AN51" s="3" t="str">
        <f>IFERROR(MID(VLOOKUP($B51,Seqs!$A:$B,2,0),AO51,1),"")</f>
        <v>A</v>
      </c>
      <c r="AO51" s="3">
        <v>288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BA51" s="124" t="str">
        <f>VLOOKUP(B51,Classification!A:D,2,0)</f>
        <v>A</v>
      </c>
      <c r="BC51" s="1"/>
      <c r="BD51" s="1"/>
      <c r="BE51" s="57">
        <f t="shared" si="29"/>
        <v>249</v>
      </c>
      <c r="BF51" s="63" t="b">
        <f t="shared" si="30"/>
        <v>1</v>
      </c>
      <c r="BG51" s="116" t="s">
        <v>1513</v>
      </c>
      <c r="BH51" s="102" t="s">
        <v>1513</v>
      </c>
      <c r="BI51" s="102" t="s">
        <v>1513</v>
      </c>
      <c r="BJ51" s="102" t="s">
        <v>1513</v>
      </c>
      <c r="BK51" s="102" t="s">
        <v>1513</v>
      </c>
      <c r="BL51" s="102" t="s">
        <v>1513</v>
      </c>
      <c r="BM51" s="102" t="s">
        <v>1513</v>
      </c>
      <c r="BN51" s="102" t="s">
        <v>1513</v>
      </c>
      <c r="BO51" s="102" t="s">
        <v>1513</v>
      </c>
      <c r="BP51" s="102" t="s">
        <v>1513</v>
      </c>
      <c r="BQ51" s="102" t="s">
        <v>1513</v>
      </c>
      <c r="BR51" s="102" t="s">
        <v>1513</v>
      </c>
      <c r="BS51" s="116">
        <f t="shared" si="31"/>
        <v>33</v>
      </c>
      <c r="BT51" s="117">
        <f t="shared" si="32"/>
        <v>70</v>
      </c>
      <c r="BU51" s="118">
        <f t="shared" si="33"/>
        <v>74</v>
      </c>
      <c r="BV51" s="117">
        <f t="shared" si="34"/>
        <v>106</v>
      </c>
      <c r="BW51" s="118">
        <f t="shared" si="35"/>
        <v>110</v>
      </c>
      <c r="BX51" s="117">
        <f t="shared" si="36"/>
        <v>146</v>
      </c>
      <c r="BY51" s="118">
        <f t="shared" si="37"/>
        <v>155</v>
      </c>
      <c r="BZ51" s="117">
        <f t="shared" si="38"/>
        <v>199</v>
      </c>
      <c r="CA51" s="118">
        <f t="shared" si="39"/>
        <v>204</v>
      </c>
      <c r="CB51" s="117">
        <f t="shared" si="40"/>
        <v>288</v>
      </c>
      <c r="CC51" s="118">
        <f t="shared" si="41"/>
        <v>321</v>
      </c>
      <c r="CD51" s="117">
        <f t="shared" si="42"/>
        <v>346</v>
      </c>
      <c r="CE51" s="116">
        <f t="shared" si="43"/>
        <v>69</v>
      </c>
      <c r="CF51" s="117">
        <f t="shared" si="44"/>
        <v>73</v>
      </c>
      <c r="CG51" s="118">
        <f t="shared" si="45"/>
        <v>104</v>
      </c>
      <c r="CH51" s="118">
        <f t="shared" si="46"/>
        <v>109</v>
      </c>
      <c r="CI51" s="118">
        <f t="shared" si="47"/>
        <v>145</v>
      </c>
      <c r="CJ51" s="118">
        <f t="shared" si="48"/>
        <v>153</v>
      </c>
      <c r="CK51" s="118">
        <f t="shared" si="49"/>
        <v>180</v>
      </c>
      <c r="CL51" s="118">
        <f t="shared" si="50"/>
        <v>201</v>
      </c>
      <c r="CM51" s="118">
        <f t="shared" si="51"/>
        <v>236</v>
      </c>
      <c r="CN51" s="118">
        <f t="shared" si="52"/>
        <v>316</v>
      </c>
      <c r="CO51" s="118">
        <f t="shared" si="53"/>
        <v>345</v>
      </c>
      <c r="CP51" s="118">
        <f t="shared" si="54"/>
        <v>358</v>
      </c>
      <c r="CQ51" s="57">
        <f t="shared" si="55"/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</row>
    <row r="52" spans="1:1026" x14ac:dyDescent="0.2">
      <c r="A52" s="3" t="str">
        <f t="shared" si="28"/>
        <v>adrb1_melga_4AMJ</v>
      </c>
      <c r="B52" s="3" t="s">
        <v>1107</v>
      </c>
      <c r="C52" s="3" t="s">
        <v>1246</v>
      </c>
      <c r="D52" s="3" t="str">
        <f>IFERROR(MID(VLOOKUP($B52,Seqs!$A:$B,2,0),E52,1),"")</f>
        <v>S</v>
      </c>
      <c r="E52" s="3">
        <v>32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57">
        <v>70</v>
      </c>
      <c r="J52" s="3" t="str">
        <f>IFERROR(MID(VLOOKUP($B52,Seqs!$A:$B,2,0),K52,1),"")</f>
        <v>Q</v>
      </c>
      <c r="K52" s="57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R</v>
      </c>
      <c r="AC52" s="3">
        <v>155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I</v>
      </c>
      <c r="AM52" s="3">
        <v>238</v>
      </c>
      <c r="AN52" s="3" t="str">
        <f>IFERROR(MID(VLOOKUP($B52,Seqs!$A:$B,2,0),AO52,1),"")</f>
        <v>R</v>
      </c>
      <c r="AO52" s="3">
        <v>275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BA52" s="124" t="str">
        <f>VLOOKUP(B52,Classification!A:D,2,0)</f>
        <v>A</v>
      </c>
      <c r="BC52" s="1"/>
      <c r="BD52" s="1"/>
      <c r="BE52" s="57">
        <f t="shared" si="29"/>
        <v>265</v>
      </c>
      <c r="BF52" s="63" t="b">
        <f t="shared" si="30"/>
        <v>1</v>
      </c>
      <c r="BG52" s="116" t="s">
        <v>1513</v>
      </c>
      <c r="BH52" s="102" t="s">
        <v>1513</v>
      </c>
      <c r="BI52" s="102" t="s">
        <v>1513</v>
      </c>
      <c r="BJ52" s="102" t="s">
        <v>1513</v>
      </c>
      <c r="BK52" s="102" t="s">
        <v>1513</v>
      </c>
      <c r="BL52" s="102" t="s">
        <v>1513</v>
      </c>
      <c r="BM52" s="102" t="s">
        <v>1513</v>
      </c>
      <c r="BN52" s="102" t="s">
        <v>1513</v>
      </c>
      <c r="BO52" s="102" t="s">
        <v>1513</v>
      </c>
      <c r="BP52" s="102" t="s">
        <v>1513</v>
      </c>
      <c r="BQ52" s="102" t="s">
        <v>1513</v>
      </c>
      <c r="BR52" s="102" t="s">
        <v>1513</v>
      </c>
      <c r="BS52" s="116">
        <f t="shared" si="31"/>
        <v>32</v>
      </c>
      <c r="BT52" s="117">
        <f t="shared" si="32"/>
        <v>70</v>
      </c>
      <c r="BU52" s="118">
        <f t="shared" si="33"/>
        <v>74</v>
      </c>
      <c r="BV52" s="117">
        <f t="shared" si="34"/>
        <v>106</v>
      </c>
      <c r="BW52" s="118">
        <f t="shared" si="35"/>
        <v>110</v>
      </c>
      <c r="BX52" s="117">
        <f t="shared" si="36"/>
        <v>146</v>
      </c>
      <c r="BY52" s="118">
        <f t="shared" si="37"/>
        <v>155</v>
      </c>
      <c r="BZ52" s="117">
        <f t="shared" si="38"/>
        <v>199</v>
      </c>
      <c r="CA52" s="118">
        <f t="shared" si="39"/>
        <v>204</v>
      </c>
      <c r="CB52" s="117">
        <f t="shared" si="40"/>
        <v>275</v>
      </c>
      <c r="CC52" s="118">
        <f t="shared" si="41"/>
        <v>321</v>
      </c>
      <c r="CD52" s="117">
        <f t="shared" si="42"/>
        <v>346</v>
      </c>
      <c r="CE52" s="116">
        <f t="shared" si="43"/>
        <v>69</v>
      </c>
      <c r="CF52" s="117">
        <f t="shared" si="44"/>
        <v>73</v>
      </c>
      <c r="CG52" s="118">
        <f t="shared" si="45"/>
        <v>104</v>
      </c>
      <c r="CH52" s="118">
        <f t="shared" si="46"/>
        <v>109</v>
      </c>
      <c r="CI52" s="118">
        <f t="shared" si="47"/>
        <v>145</v>
      </c>
      <c r="CJ52" s="118">
        <f t="shared" si="48"/>
        <v>153</v>
      </c>
      <c r="CK52" s="118">
        <f t="shared" si="49"/>
        <v>180</v>
      </c>
      <c r="CL52" s="118">
        <f t="shared" si="50"/>
        <v>201</v>
      </c>
      <c r="CM52" s="118">
        <f t="shared" si="51"/>
        <v>238</v>
      </c>
      <c r="CN52" s="118">
        <f t="shared" si="52"/>
        <v>316</v>
      </c>
      <c r="CO52" s="118">
        <f t="shared" si="53"/>
        <v>345</v>
      </c>
      <c r="CP52" s="118">
        <f t="shared" si="54"/>
        <v>358</v>
      </c>
      <c r="CQ52" s="57">
        <f t="shared" si="55"/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</row>
    <row r="53" spans="1:1026" x14ac:dyDescent="0.2">
      <c r="A53" s="3" t="str">
        <f t="shared" si="28"/>
        <v>adrb1_melga_4BVN</v>
      </c>
      <c r="B53" s="3" t="s">
        <v>1107</v>
      </c>
      <c r="C53" s="3" t="s">
        <v>272</v>
      </c>
      <c r="D53" s="3" t="str">
        <f>IFERROR(MID(VLOOKUP($B53,Seqs!$A:$B,2,0),E53,1),"")</f>
        <v>S</v>
      </c>
      <c r="E53" s="3">
        <v>37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57">
        <v>70</v>
      </c>
      <c r="J53" s="3" t="str">
        <f>IFERROR(MID(VLOOKUP($B53,Seqs!$A:$B,2,0),K53,1),"")</f>
        <v>Q</v>
      </c>
      <c r="K53" s="57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R</v>
      </c>
      <c r="AC53" s="3">
        <v>155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R</v>
      </c>
      <c r="AM53" s="3">
        <v>239</v>
      </c>
      <c r="AN53" s="3" t="str">
        <f>IFERROR(MID(VLOOKUP($B53,Seqs!$A:$B,2,0),AO53,1),"")</f>
        <v>R</v>
      </c>
      <c r="AO53" s="3">
        <v>279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BA53" s="124" t="str">
        <f>VLOOKUP(B53,Classification!A:D,2,0)</f>
        <v>A</v>
      </c>
      <c r="BC53" s="1"/>
      <c r="BD53" s="1"/>
      <c r="BE53" s="57">
        <f t="shared" si="29"/>
        <v>257</v>
      </c>
      <c r="BF53" s="63" t="b">
        <f t="shared" si="30"/>
        <v>1</v>
      </c>
      <c r="BG53" s="116" t="s">
        <v>1513</v>
      </c>
      <c r="BH53" s="102" t="s">
        <v>1513</v>
      </c>
      <c r="BI53" s="102" t="s">
        <v>1513</v>
      </c>
      <c r="BJ53" s="102" t="s">
        <v>1513</v>
      </c>
      <c r="BK53" s="102" t="s">
        <v>1513</v>
      </c>
      <c r="BL53" s="102" t="s">
        <v>1513</v>
      </c>
      <c r="BM53" s="102" t="s">
        <v>1513</v>
      </c>
      <c r="BN53" s="102" t="s">
        <v>1513</v>
      </c>
      <c r="BO53" s="102" t="s">
        <v>1513</v>
      </c>
      <c r="BP53" s="102" t="s">
        <v>1513</v>
      </c>
      <c r="BQ53" s="102" t="s">
        <v>1513</v>
      </c>
      <c r="BR53" s="102" t="s">
        <v>1513</v>
      </c>
      <c r="BS53" s="116">
        <f t="shared" si="31"/>
        <v>37</v>
      </c>
      <c r="BT53" s="117">
        <f t="shared" si="32"/>
        <v>70</v>
      </c>
      <c r="BU53" s="118">
        <f t="shared" si="33"/>
        <v>74</v>
      </c>
      <c r="BV53" s="117">
        <f t="shared" si="34"/>
        <v>106</v>
      </c>
      <c r="BW53" s="118">
        <f t="shared" si="35"/>
        <v>110</v>
      </c>
      <c r="BX53" s="117">
        <f t="shared" si="36"/>
        <v>146</v>
      </c>
      <c r="BY53" s="118">
        <f t="shared" si="37"/>
        <v>155</v>
      </c>
      <c r="BZ53" s="117">
        <f t="shared" si="38"/>
        <v>199</v>
      </c>
      <c r="CA53" s="118">
        <f t="shared" si="39"/>
        <v>204</v>
      </c>
      <c r="CB53" s="117">
        <f t="shared" si="40"/>
        <v>279</v>
      </c>
      <c r="CC53" s="118">
        <f t="shared" si="41"/>
        <v>321</v>
      </c>
      <c r="CD53" s="117">
        <f t="shared" si="42"/>
        <v>346</v>
      </c>
      <c r="CE53" s="116">
        <f t="shared" si="43"/>
        <v>69</v>
      </c>
      <c r="CF53" s="117">
        <f t="shared" si="44"/>
        <v>73</v>
      </c>
      <c r="CG53" s="118">
        <f t="shared" si="45"/>
        <v>104</v>
      </c>
      <c r="CH53" s="118">
        <f t="shared" si="46"/>
        <v>109</v>
      </c>
      <c r="CI53" s="118">
        <f t="shared" si="47"/>
        <v>145</v>
      </c>
      <c r="CJ53" s="118">
        <f t="shared" si="48"/>
        <v>153</v>
      </c>
      <c r="CK53" s="118">
        <f t="shared" si="49"/>
        <v>180</v>
      </c>
      <c r="CL53" s="118">
        <f t="shared" si="50"/>
        <v>201</v>
      </c>
      <c r="CM53" s="118">
        <f t="shared" si="51"/>
        <v>239</v>
      </c>
      <c r="CN53" s="118">
        <f t="shared" si="52"/>
        <v>316</v>
      </c>
      <c r="CO53" s="118">
        <f t="shared" si="53"/>
        <v>345</v>
      </c>
      <c r="CP53" s="118">
        <f t="shared" si="54"/>
        <v>358</v>
      </c>
      <c r="CQ53" s="57">
        <f t="shared" si="55"/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</row>
    <row r="54" spans="1:1026" x14ac:dyDescent="0.2">
      <c r="A54" s="3" t="str">
        <f t="shared" si="28"/>
        <v>adrb1_melga_4GPO</v>
      </c>
      <c r="B54" s="3" t="s">
        <v>1107</v>
      </c>
      <c r="C54" s="3" t="s">
        <v>1247</v>
      </c>
      <c r="D54" s="3" t="str">
        <f>IFERROR(MID(VLOOKUP($B54,Seqs!$A:$B,2,0),E54,1),"")</f>
        <v>S</v>
      </c>
      <c r="E54" s="3">
        <v>37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57">
        <v>70</v>
      </c>
      <c r="J54" s="3" t="str">
        <f>IFERROR(MID(VLOOKUP($B54,Seqs!$A:$B,2,0),K54,1),"")</f>
        <v>Q</v>
      </c>
      <c r="K54" s="57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R</v>
      </c>
      <c r="AC54" s="3">
        <v>155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E</v>
      </c>
      <c r="AM54" s="3">
        <v>233</v>
      </c>
      <c r="AN54" s="3" t="str">
        <f>IFERROR(MID(VLOOKUP($B54,Seqs!$A:$B,2,0),AO54,1),"")</f>
        <v>M</v>
      </c>
      <c r="AO54" s="3">
        <v>283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L</v>
      </c>
      <c r="AY54" s="3">
        <v>356</v>
      </c>
      <c r="BA54" s="124" t="str">
        <f>VLOOKUP(B54,Classification!A:D,2,0)</f>
        <v>A</v>
      </c>
      <c r="BC54" s="1"/>
      <c r="BD54" s="1"/>
      <c r="BE54" s="57">
        <f t="shared" si="29"/>
        <v>245</v>
      </c>
      <c r="BF54" s="63" t="b">
        <f t="shared" si="30"/>
        <v>1</v>
      </c>
      <c r="BG54" s="116" t="s">
        <v>1513</v>
      </c>
      <c r="BH54" s="102" t="s">
        <v>1513</v>
      </c>
      <c r="BI54" s="102" t="s">
        <v>1513</v>
      </c>
      <c r="BJ54" s="102" t="s">
        <v>1513</v>
      </c>
      <c r="BK54" s="102" t="s">
        <v>1513</v>
      </c>
      <c r="BL54" s="102" t="s">
        <v>1513</v>
      </c>
      <c r="BM54" s="102" t="s">
        <v>1513</v>
      </c>
      <c r="BN54" s="102" t="s">
        <v>1513</v>
      </c>
      <c r="BO54" s="102" t="s">
        <v>1513</v>
      </c>
      <c r="BP54" s="102" t="s">
        <v>1513</v>
      </c>
      <c r="BQ54" s="102" t="s">
        <v>1513</v>
      </c>
      <c r="BR54" s="102" t="s">
        <v>1513</v>
      </c>
      <c r="BS54" s="116">
        <f t="shared" si="31"/>
        <v>37</v>
      </c>
      <c r="BT54" s="117">
        <f t="shared" si="32"/>
        <v>70</v>
      </c>
      <c r="BU54" s="118">
        <f t="shared" si="33"/>
        <v>74</v>
      </c>
      <c r="BV54" s="117">
        <f t="shared" si="34"/>
        <v>106</v>
      </c>
      <c r="BW54" s="118">
        <f t="shared" si="35"/>
        <v>110</v>
      </c>
      <c r="BX54" s="117">
        <f t="shared" si="36"/>
        <v>146</v>
      </c>
      <c r="BY54" s="118">
        <f t="shared" si="37"/>
        <v>155</v>
      </c>
      <c r="BZ54" s="117">
        <f t="shared" si="38"/>
        <v>199</v>
      </c>
      <c r="CA54" s="118">
        <f t="shared" si="39"/>
        <v>204</v>
      </c>
      <c r="CB54" s="117">
        <f t="shared" si="40"/>
        <v>283</v>
      </c>
      <c r="CC54" s="118">
        <f t="shared" si="41"/>
        <v>321</v>
      </c>
      <c r="CD54" s="117">
        <f t="shared" si="42"/>
        <v>346</v>
      </c>
      <c r="CE54" s="116">
        <f t="shared" si="43"/>
        <v>69</v>
      </c>
      <c r="CF54" s="117">
        <f t="shared" si="44"/>
        <v>73</v>
      </c>
      <c r="CG54" s="118">
        <f t="shared" si="45"/>
        <v>104</v>
      </c>
      <c r="CH54" s="118">
        <f t="shared" si="46"/>
        <v>109</v>
      </c>
      <c r="CI54" s="118">
        <f t="shared" si="47"/>
        <v>145</v>
      </c>
      <c r="CJ54" s="118">
        <f t="shared" si="48"/>
        <v>153</v>
      </c>
      <c r="CK54" s="118">
        <f t="shared" si="49"/>
        <v>180</v>
      </c>
      <c r="CL54" s="118">
        <f t="shared" si="50"/>
        <v>201</v>
      </c>
      <c r="CM54" s="118">
        <f t="shared" si="51"/>
        <v>233</v>
      </c>
      <c r="CN54" s="118">
        <f t="shared" si="52"/>
        <v>316</v>
      </c>
      <c r="CO54" s="118">
        <f t="shared" si="53"/>
        <v>345</v>
      </c>
      <c r="CP54" s="118">
        <f t="shared" si="54"/>
        <v>356</v>
      </c>
      <c r="CQ54" s="57">
        <f t="shared" si="55"/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</row>
    <row r="55" spans="1:1026" x14ac:dyDescent="0.2">
      <c r="A55" s="3" t="str">
        <f t="shared" si="28"/>
        <v>adrb1_melga_5A8E</v>
      </c>
      <c r="B55" s="3" t="s">
        <v>1107</v>
      </c>
      <c r="C55" s="3" t="s">
        <v>1264</v>
      </c>
      <c r="D55" s="3" t="str">
        <f>IFERROR(MID(VLOOKUP($B55,Seqs!$A:$B,2,0),E55,1),"")</f>
        <v>S</v>
      </c>
      <c r="E55" s="3">
        <v>37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57">
        <v>70</v>
      </c>
      <c r="J55" s="3" t="str">
        <f>IFERROR(MID(VLOOKUP($B55,Seqs!$A:$B,2,0),K55,1),"")</f>
        <v>Q</v>
      </c>
      <c r="K55" s="57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R</v>
      </c>
      <c r="AC55" s="3">
        <v>155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R</v>
      </c>
      <c r="AM55" s="3">
        <v>239</v>
      </c>
      <c r="AN55" s="3" t="str">
        <f>IFERROR(MID(VLOOKUP($B55,Seqs!$A:$B,2,0),AO55,1),"")</f>
        <v>R</v>
      </c>
      <c r="AO55" s="3">
        <v>279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K</v>
      </c>
      <c r="AY55" s="3">
        <v>354</v>
      </c>
      <c r="BA55" s="124" t="str">
        <f>VLOOKUP(B55,Classification!A:D,2,0)</f>
        <v>A</v>
      </c>
      <c r="BC55" s="1"/>
      <c r="BD55" s="1"/>
      <c r="BE55" s="57">
        <f t="shared" si="29"/>
        <v>253</v>
      </c>
      <c r="BF55" s="63" t="b">
        <f t="shared" si="30"/>
        <v>1</v>
      </c>
      <c r="BG55" s="116" t="s">
        <v>1513</v>
      </c>
      <c r="BH55" s="102" t="s">
        <v>1513</v>
      </c>
      <c r="BI55" s="102" t="s">
        <v>1513</v>
      </c>
      <c r="BJ55" s="102" t="s">
        <v>1513</v>
      </c>
      <c r="BK55" s="102" t="s">
        <v>1513</v>
      </c>
      <c r="BL55" s="102" t="s">
        <v>1513</v>
      </c>
      <c r="BM55" s="102" t="s">
        <v>1513</v>
      </c>
      <c r="BN55" s="102" t="s">
        <v>1513</v>
      </c>
      <c r="BO55" s="102" t="s">
        <v>1513</v>
      </c>
      <c r="BP55" s="102" t="s">
        <v>1513</v>
      </c>
      <c r="BQ55" s="102" t="s">
        <v>1513</v>
      </c>
      <c r="BR55" s="102" t="s">
        <v>1513</v>
      </c>
      <c r="BS55" s="116">
        <f t="shared" si="31"/>
        <v>37</v>
      </c>
      <c r="BT55" s="117">
        <f t="shared" si="32"/>
        <v>70</v>
      </c>
      <c r="BU55" s="118">
        <f t="shared" si="33"/>
        <v>74</v>
      </c>
      <c r="BV55" s="117">
        <f t="shared" si="34"/>
        <v>106</v>
      </c>
      <c r="BW55" s="118">
        <f t="shared" si="35"/>
        <v>110</v>
      </c>
      <c r="BX55" s="117">
        <f t="shared" si="36"/>
        <v>146</v>
      </c>
      <c r="BY55" s="118">
        <f t="shared" si="37"/>
        <v>155</v>
      </c>
      <c r="BZ55" s="117">
        <f t="shared" si="38"/>
        <v>199</v>
      </c>
      <c r="CA55" s="118">
        <f t="shared" si="39"/>
        <v>204</v>
      </c>
      <c r="CB55" s="117">
        <f t="shared" si="40"/>
        <v>279</v>
      </c>
      <c r="CC55" s="118">
        <f t="shared" si="41"/>
        <v>321</v>
      </c>
      <c r="CD55" s="117">
        <f t="shared" si="42"/>
        <v>346</v>
      </c>
      <c r="CE55" s="116">
        <f t="shared" si="43"/>
        <v>69</v>
      </c>
      <c r="CF55" s="117">
        <f t="shared" si="44"/>
        <v>73</v>
      </c>
      <c r="CG55" s="118">
        <f t="shared" si="45"/>
        <v>104</v>
      </c>
      <c r="CH55" s="118">
        <f t="shared" si="46"/>
        <v>109</v>
      </c>
      <c r="CI55" s="118">
        <f t="shared" si="47"/>
        <v>145</v>
      </c>
      <c r="CJ55" s="118">
        <f t="shared" si="48"/>
        <v>153</v>
      </c>
      <c r="CK55" s="118">
        <f t="shared" si="49"/>
        <v>180</v>
      </c>
      <c r="CL55" s="118">
        <f t="shared" si="50"/>
        <v>201</v>
      </c>
      <c r="CM55" s="118">
        <f t="shared" si="51"/>
        <v>239</v>
      </c>
      <c r="CN55" s="118">
        <f t="shared" si="52"/>
        <v>316</v>
      </c>
      <c r="CO55" s="118">
        <f t="shared" si="53"/>
        <v>345</v>
      </c>
      <c r="CP55" s="118">
        <f t="shared" si="54"/>
        <v>354</v>
      </c>
      <c r="CQ55" s="57">
        <f t="shared" si="55"/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</row>
    <row r="56" spans="1:1026" x14ac:dyDescent="0.2">
      <c r="A56" s="3" t="str">
        <f t="shared" si="28"/>
        <v>adrb2_human__wt</v>
      </c>
      <c r="B56" s="3" t="s">
        <v>319</v>
      </c>
      <c r="C56" s="3" t="s">
        <v>293</v>
      </c>
      <c r="D56" s="3" t="str">
        <f>IFERROR(MID(VLOOKUP($B56,Seqs!$A:$B,2,0),E56,1),"")</f>
        <v>Q</v>
      </c>
      <c r="E56" s="3">
        <v>26</v>
      </c>
      <c r="F56" s="3" t="str">
        <f>IFERROR(MID(VLOOKUP($B56,Seqs!$A:$B,2,0),G56,1),"")</f>
        <v>F</v>
      </c>
      <c r="G56" s="3">
        <v>61</v>
      </c>
      <c r="H56" s="3" t="str">
        <f>IFERROR(MID(VLOOKUP($B56,Seqs!$A:$B,2,0),I56,1),"")</f>
        <v>E</v>
      </c>
      <c r="I56" s="57">
        <v>62</v>
      </c>
      <c r="J56" s="3" t="str">
        <f>IFERROR(MID(VLOOKUP($B56,Seqs!$A:$B,2,0),K56,1),"")</f>
        <v>Q</v>
      </c>
      <c r="K56" s="57">
        <v>65</v>
      </c>
      <c r="L56" s="3" t="str">
        <f>IFERROR(MID(VLOOKUP($B56,Seqs!$A:$B,2,0),M56,1),"")</f>
        <v>T</v>
      </c>
      <c r="M56" s="3">
        <v>66</v>
      </c>
      <c r="N56" s="3" t="str">
        <f>IFERROR(MID(VLOOKUP($B56,Seqs!$A:$B,2,0),O56,1),"")</f>
        <v>M</v>
      </c>
      <c r="O56" s="3">
        <v>96</v>
      </c>
      <c r="P56" s="3" t="str">
        <f>IFERROR(MID(VLOOKUP($B56,Seqs!$A:$B,2,0),Q56,1),"")</f>
        <v>M</v>
      </c>
      <c r="Q56" s="3">
        <v>98</v>
      </c>
      <c r="R56" s="3" t="str">
        <f>IFERROR(MID(VLOOKUP($B56,Seqs!$A:$B,2,0),S56,1),"")</f>
        <v>F</v>
      </c>
      <c r="S56" s="3">
        <v>101</v>
      </c>
      <c r="T56" s="3" t="str">
        <f>IFERROR(MID(VLOOKUP($B56,Seqs!$A:$B,2,0),U56,1),"")</f>
        <v>G</v>
      </c>
      <c r="U56" s="3">
        <v>102</v>
      </c>
      <c r="V56" s="3" t="str">
        <f>IFERROR(MID(VLOOKUP($B56,Seqs!$A:$B,2,0),W56,1),"")</f>
        <v>S</v>
      </c>
      <c r="W56" s="3">
        <v>137</v>
      </c>
      <c r="X56" s="3" t="str">
        <f>IFERROR(MID(VLOOKUP($B56,Seqs!$A:$B,2,0),Y56,1),"")</f>
        <v>P</v>
      </c>
      <c r="Y56" s="3">
        <v>138</v>
      </c>
      <c r="Z56" s="3" t="str">
        <f>IFERROR(MID(VLOOKUP($B56,Seqs!$A:$B,2,0),AA56,1),"")</f>
        <v>L</v>
      </c>
      <c r="AA56" s="3">
        <v>145</v>
      </c>
      <c r="AB56" s="3" t="str">
        <f>IFERROR(MID(VLOOKUP($B56,Seqs!$A:$B,2,0),AC56,1),"")</f>
        <v>K</v>
      </c>
      <c r="AC56" s="3">
        <v>147</v>
      </c>
      <c r="AD56" s="3" t="str">
        <f>IFERROR(MID(VLOOKUP($B56,Seqs!$A:$B,2,0),AE56,1),"")</f>
        <v>H</v>
      </c>
      <c r="AE56" s="3">
        <v>172</v>
      </c>
      <c r="AF56" s="3" t="str">
        <f>IFERROR(MID(VLOOKUP($B56,Seqs!$A:$B,2,0),AG56,1),"")</f>
        <v>C</v>
      </c>
      <c r="AG56" s="3">
        <v>191</v>
      </c>
      <c r="AH56" s="3" t="str">
        <f>IFERROR(MID(VLOOKUP($B56,Seqs!$A:$B,2,0),AI56,1),"")</f>
        <v>F</v>
      </c>
      <c r="AI56" s="3">
        <v>193</v>
      </c>
      <c r="AJ56" s="3" t="str">
        <f>IFERROR(MID(VLOOKUP($B56,Seqs!$A:$B,2,0),AK56,1),"")</f>
        <v>N</v>
      </c>
      <c r="AK56" s="3">
        <v>196</v>
      </c>
      <c r="AL56" s="3" t="str">
        <f>IFERROR(MID(VLOOKUP($B56,Seqs!$A:$B,2,0),AM56,1),"")</f>
        <v>E</v>
      </c>
      <c r="AM56" s="3">
        <v>237</v>
      </c>
      <c r="AN56" s="3" t="str">
        <f>IFERROR(MID(VLOOKUP($B56,Seqs!$A:$B,2,0),AO56,1),"")</f>
        <v>S</v>
      </c>
      <c r="AO56" s="3">
        <v>262</v>
      </c>
      <c r="AP56" s="3" t="str">
        <f>IFERROR(MID(VLOOKUP($B56,Seqs!$A:$B,2,0),AQ56,1),"")</f>
        <v>Q</v>
      </c>
      <c r="AQ56" s="3">
        <v>299</v>
      </c>
      <c r="AR56" s="3" t="str">
        <f>IFERROR(MID(VLOOKUP($B56,Seqs!$A:$B,2,0),AS56,1),"")</f>
        <v>R</v>
      </c>
      <c r="AS56" s="3">
        <v>304</v>
      </c>
      <c r="AT56" s="3" t="str">
        <f>IFERROR(MID(VLOOKUP($B56,Seqs!$A:$B,2,0),AU56,1),"")</f>
        <v>R</v>
      </c>
      <c r="AU56" s="3">
        <v>328</v>
      </c>
      <c r="AV56" s="3" t="str">
        <f>IFERROR(MID(VLOOKUP($B56,Seqs!$A:$B,2,0),AW56,1),"")</f>
        <v>S</v>
      </c>
      <c r="AW56" s="3">
        <v>329</v>
      </c>
      <c r="AX56" s="3" t="str">
        <f>IFERROR(MID(VLOOKUP($B56,Seqs!$A:$B,2,0),AY56,1),"")</f>
        <v>C</v>
      </c>
      <c r="AY56" s="3">
        <v>341</v>
      </c>
      <c r="BA56" s="124" t="str">
        <f>VLOOKUP(B56,Classification!A:D,2,0)</f>
        <v>A</v>
      </c>
      <c r="BC56" s="3" t="s">
        <v>1384</v>
      </c>
      <c r="BD56" s="72">
        <f>S56-Q56+1</f>
        <v>4</v>
      </c>
      <c r="BE56" s="57">
        <f t="shared" si="29"/>
        <v>266</v>
      </c>
      <c r="BF56" s="63" t="b">
        <f t="shared" si="30"/>
        <v>1</v>
      </c>
      <c r="BG56" s="116" t="s">
        <v>1513</v>
      </c>
      <c r="BH56" s="102" t="s">
        <v>1513</v>
      </c>
      <c r="BI56" s="102" t="s">
        <v>1513</v>
      </c>
      <c r="BJ56" s="102" t="s">
        <v>1513</v>
      </c>
      <c r="BK56" s="102" t="s">
        <v>1513</v>
      </c>
      <c r="BL56" s="102" t="s">
        <v>1513</v>
      </c>
      <c r="BM56" s="102" t="s">
        <v>1513</v>
      </c>
      <c r="BN56" s="102" t="s">
        <v>1513</v>
      </c>
      <c r="BO56" s="102" t="s">
        <v>1513</v>
      </c>
      <c r="BP56" s="102" t="s">
        <v>1513</v>
      </c>
      <c r="BQ56" s="102" t="s">
        <v>1513</v>
      </c>
      <c r="BR56" s="102" t="s">
        <v>1513</v>
      </c>
      <c r="BS56" s="116">
        <f t="shared" si="31"/>
        <v>26</v>
      </c>
      <c r="BT56" s="117">
        <f t="shared" si="32"/>
        <v>62</v>
      </c>
      <c r="BU56" s="118">
        <f t="shared" si="33"/>
        <v>66</v>
      </c>
      <c r="BV56" s="117">
        <f t="shared" si="34"/>
        <v>98</v>
      </c>
      <c r="BW56" s="118">
        <f t="shared" si="35"/>
        <v>102</v>
      </c>
      <c r="BX56" s="117">
        <f t="shared" si="36"/>
        <v>138</v>
      </c>
      <c r="BY56" s="118">
        <f t="shared" si="37"/>
        <v>147</v>
      </c>
      <c r="BZ56" s="117">
        <f t="shared" si="38"/>
        <v>191</v>
      </c>
      <c r="CA56" s="118">
        <f t="shared" si="39"/>
        <v>196</v>
      </c>
      <c r="CB56" s="117">
        <f t="shared" si="40"/>
        <v>262</v>
      </c>
      <c r="CC56" s="118">
        <f t="shared" si="41"/>
        <v>304</v>
      </c>
      <c r="CD56" s="117">
        <f t="shared" si="42"/>
        <v>329</v>
      </c>
      <c r="CE56" s="116">
        <f t="shared" si="43"/>
        <v>61</v>
      </c>
      <c r="CF56" s="117">
        <f t="shared" si="44"/>
        <v>65</v>
      </c>
      <c r="CG56" s="118">
        <f t="shared" si="45"/>
        <v>96</v>
      </c>
      <c r="CH56" s="118">
        <f t="shared" si="46"/>
        <v>101</v>
      </c>
      <c r="CI56" s="118">
        <f t="shared" si="47"/>
        <v>137</v>
      </c>
      <c r="CJ56" s="118">
        <f t="shared" si="48"/>
        <v>145</v>
      </c>
      <c r="CK56" s="118">
        <f t="shared" si="49"/>
        <v>172</v>
      </c>
      <c r="CL56" s="118">
        <f t="shared" si="50"/>
        <v>193</v>
      </c>
      <c r="CM56" s="118">
        <f t="shared" si="51"/>
        <v>237</v>
      </c>
      <c r="CN56" s="118">
        <f t="shared" si="52"/>
        <v>299</v>
      </c>
      <c r="CO56" s="118">
        <f t="shared" si="53"/>
        <v>328</v>
      </c>
      <c r="CP56" s="118">
        <f t="shared" si="54"/>
        <v>341</v>
      </c>
      <c r="CQ56" s="57">
        <f t="shared" si="55"/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</row>
    <row r="57" spans="1:1026" x14ac:dyDescent="0.2">
      <c r="A57" s="3" t="str">
        <f t="shared" si="28"/>
        <v>adrb2_human_3SN6</v>
      </c>
      <c r="B57" s="3" t="s">
        <v>319</v>
      </c>
      <c r="C57" s="3" t="s">
        <v>276</v>
      </c>
      <c r="D57" s="3" t="str">
        <f>IFERROR(MID(VLOOKUP($B57,Seqs!$A:$B,2,0),E57,1),"")</f>
        <v>D</v>
      </c>
      <c r="E57" s="3">
        <v>29</v>
      </c>
      <c r="F57" s="3" t="str">
        <f>IFERROR(MID(VLOOKUP($B57,Seqs!$A:$B,2,0),G57,1),"")</f>
        <v>F</v>
      </c>
      <c r="G57" s="3">
        <v>61</v>
      </c>
      <c r="H57" s="3" t="str">
        <f>IFERROR(MID(VLOOKUP($B57,Seqs!$A:$B,2,0),I57,1),"")</f>
        <v>E</v>
      </c>
      <c r="I57" s="57">
        <v>62</v>
      </c>
      <c r="J57" s="3" t="str">
        <f>IFERROR(MID(VLOOKUP($B57,Seqs!$A:$B,2,0),K57,1),"")</f>
        <v>Q</v>
      </c>
      <c r="K57" s="57">
        <v>65</v>
      </c>
      <c r="L57" s="3" t="str">
        <f>IFERROR(MID(VLOOKUP($B57,Seqs!$A:$B,2,0),M57,1),"")</f>
        <v>T</v>
      </c>
      <c r="M57" s="3">
        <v>66</v>
      </c>
      <c r="N57" s="3" t="str">
        <f>IFERROR(MID(VLOOKUP($B57,Seqs!$A:$B,2,0),O57,1),"")</f>
        <v>M</v>
      </c>
      <c r="O57" s="3">
        <v>96</v>
      </c>
      <c r="P57" s="3" t="str">
        <f>IFERROR(MID(VLOOKUP($B57,Seqs!$A:$B,2,0),Q57,1),"")</f>
        <v>M</v>
      </c>
      <c r="Q57" s="3">
        <v>98</v>
      </c>
      <c r="R57" s="3" t="str">
        <f>IFERROR(MID(VLOOKUP($B57,Seqs!$A:$B,2,0),S57,1),"")</f>
        <v>F</v>
      </c>
      <c r="S57" s="3">
        <v>101</v>
      </c>
      <c r="T57" s="3" t="str">
        <f>IFERROR(MID(VLOOKUP($B57,Seqs!$A:$B,2,0),U57,1),"")</f>
        <v>G</v>
      </c>
      <c r="U57" s="3">
        <v>102</v>
      </c>
      <c r="V57" s="3" t="str">
        <f>IFERROR(MID(VLOOKUP($B57,Seqs!$A:$B,2,0),W57,1),"")</f>
        <v>S</v>
      </c>
      <c r="W57" s="3">
        <v>137</v>
      </c>
      <c r="X57" s="3" t="str">
        <f>IFERROR(MID(VLOOKUP($B57,Seqs!$A:$B,2,0),Y57,1),"")</f>
        <v>P</v>
      </c>
      <c r="Y57" s="3">
        <v>138</v>
      </c>
      <c r="Z57" s="3" t="str">
        <f>IFERROR(MID(VLOOKUP($B57,Seqs!$A:$B,2,0),AA57,1),"")</f>
        <v>L</v>
      </c>
      <c r="AA57" s="3">
        <v>145</v>
      </c>
      <c r="AB57" s="3" t="str">
        <f>IFERROR(MID(VLOOKUP($B57,Seqs!$A:$B,2,0),AC57,1),"")</f>
        <v>K</v>
      </c>
      <c r="AC57" s="3">
        <v>147</v>
      </c>
      <c r="AD57" s="3" t="str">
        <f>IFERROR(MID(VLOOKUP($B57,Seqs!$A:$B,2,0),AE57,1),"")</f>
        <v>H</v>
      </c>
      <c r="AE57" s="3">
        <v>172</v>
      </c>
      <c r="AF57" s="3" t="str">
        <f>IFERROR(MID(VLOOKUP($B57,Seqs!$A:$B,2,0),AG57,1),"")</f>
        <v>C</v>
      </c>
      <c r="AG57" s="3">
        <v>191</v>
      </c>
      <c r="AH57" s="3" t="str">
        <f>IFERROR(MID(VLOOKUP($B57,Seqs!$A:$B,2,0),AI57,1),"")</f>
        <v>F</v>
      </c>
      <c r="AI57" s="3">
        <v>193</v>
      </c>
      <c r="AJ57" s="3" t="str">
        <f>IFERROR(MID(VLOOKUP($B57,Seqs!$A:$B,2,0),AK57,1),"")</f>
        <v>N</v>
      </c>
      <c r="AK57" s="3">
        <v>196</v>
      </c>
      <c r="AL57" s="3" t="str">
        <f>IFERROR(MID(VLOOKUP($B57,Seqs!$A:$B,2,0),AM57,1),"")</f>
        <v>E</v>
      </c>
      <c r="AM57" s="3">
        <v>237</v>
      </c>
      <c r="AN57" s="3" t="str">
        <f>IFERROR(MID(VLOOKUP($B57,Seqs!$A:$B,2,0),AO57,1),"")</f>
        <v>C</v>
      </c>
      <c r="AO57" s="3">
        <v>265</v>
      </c>
      <c r="AP57" s="3" t="str">
        <f>IFERROR(MID(VLOOKUP($B57,Seqs!$A:$B,2,0),AQ57,1),"")</f>
        <v>Q</v>
      </c>
      <c r="AQ57" s="3">
        <v>299</v>
      </c>
      <c r="AR57" s="3" t="str">
        <f>IFERROR(MID(VLOOKUP($B57,Seqs!$A:$B,2,0),AS57,1),"")</f>
        <v>R</v>
      </c>
      <c r="AS57" s="3">
        <v>304</v>
      </c>
      <c r="AT57" s="3" t="str">
        <f>IFERROR(MID(VLOOKUP($B57,Seqs!$A:$B,2,0),AU57,1),"")</f>
        <v>R</v>
      </c>
      <c r="AU57" s="3">
        <v>328</v>
      </c>
      <c r="AV57" s="3" t="str">
        <f>IFERROR(MID(VLOOKUP($B57,Seqs!$A:$B,2,0),AW57,1),"")</f>
        <v>S</v>
      </c>
      <c r="AW57" s="3">
        <v>329</v>
      </c>
      <c r="AX57" s="3" t="str">
        <f>IFERROR(MID(VLOOKUP($B57,Seqs!$A:$B,2,0),AY57,1),"")</f>
        <v>C</v>
      </c>
      <c r="AY57" s="3">
        <v>341</v>
      </c>
      <c r="BA57" s="124" t="str">
        <f>VLOOKUP(B57,Classification!A:D,2,0)</f>
        <v>A</v>
      </c>
      <c r="BC57" s="1"/>
      <c r="BD57" s="2" t="s">
        <v>1314</v>
      </c>
      <c r="BE57" s="57">
        <f t="shared" si="29"/>
        <v>260</v>
      </c>
      <c r="BF57" s="63" t="b">
        <f t="shared" si="30"/>
        <v>1</v>
      </c>
      <c r="BG57" s="116" t="s">
        <v>1513</v>
      </c>
      <c r="BH57" s="102" t="s">
        <v>1513</v>
      </c>
      <c r="BI57" s="102" t="s">
        <v>1513</v>
      </c>
      <c r="BJ57" s="102" t="s">
        <v>1513</v>
      </c>
      <c r="BK57" s="102" t="s">
        <v>1513</v>
      </c>
      <c r="BL57" s="102" t="s">
        <v>1513</v>
      </c>
      <c r="BM57" s="102" t="s">
        <v>1513</v>
      </c>
      <c r="BN57" s="102" t="s">
        <v>1513</v>
      </c>
      <c r="BO57" s="102" t="s">
        <v>1513</v>
      </c>
      <c r="BP57" s="102" t="s">
        <v>1513</v>
      </c>
      <c r="BQ57" s="102" t="s">
        <v>1513</v>
      </c>
      <c r="BR57" s="102" t="s">
        <v>1513</v>
      </c>
      <c r="BS57" s="116">
        <f t="shared" si="31"/>
        <v>29</v>
      </c>
      <c r="BT57" s="117">
        <f t="shared" si="32"/>
        <v>62</v>
      </c>
      <c r="BU57" s="118">
        <f t="shared" si="33"/>
        <v>66</v>
      </c>
      <c r="BV57" s="117">
        <f t="shared" si="34"/>
        <v>98</v>
      </c>
      <c r="BW57" s="118">
        <f t="shared" si="35"/>
        <v>102</v>
      </c>
      <c r="BX57" s="117">
        <f t="shared" si="36"/>
        <v>138</v>
      </c>
      <c r="BY57" s="118">
        <f t="shared" si="37"/>
        <v>147</v>
      </c>
      <c r="BZ57" s="117">
        <f t="shared" si="38"/>
        <v>191</v>
      </c>
      <c r="CA57" s="118">
        <f t="shared" si="39"/>
        <v>196</v>
      </c>
      <c r="CB57" s="117">
        <f t="shared" si="40"/>
        <v>265</v>
      </c>
      <c r="CC57" s="118">
        <f t="shared" si="41"/>
        <v>304</v>
      </c>
      <c r="CD57" s="117">
        <f t="shared" si="42"/>
        <v>329</v>
      </c>
      <c r="CE57" s="116">
        <f t="shared" si="43"/>
        <v>61</v>
      </c>
      <c r="CF57" s="117">
        <f t="shared" si="44"/>
        <v>65</v>
      </c>
      <c r="CG57" s="118">
        <f t="shared" si="45"/>
        <v>96</v>
      </c>
      <c r="CH57" s="118">
        <f t="shared" si="46"/>
        <v>101</v>
      </c>
      <c r="CI57" s="118">
        <f t="shared" si="47"/>
        <v>137</v>
      </c>
      <c r="CJ57" s="118">
        <f t="shared" si="48"/>
        <v>145</v>
      </c>
      <c r="CK57" s="118">
        <f t="shared" si="49"/>
        <v>172</v>
      </c>
      <c r="CL57" s="118">
        <f t="shared" si="50"/>
        <v>193</v>
      </c>
      <c r="CM57" s="118">
        <f t="shared" si="51"/>
        <v>237</v>
      </c>
      <c r="CN57" s="118">
        <f t="shared" si="52"/>
        <v>299</v>
      </c>
      <c r="CO57" s="118">
        <f t="shared" si="53"/>
        <v>328</v>
      </c>
      <c r="CP57" s="118">
        <f t="shared" si="54"/>
        <v>341</v>
      </c>
      <c r="CQ57" s="57">
        <f t="shared" si="55"/>
        <v>1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</row>
    <row r="58" spans="1:1026" x14ac:dyDescent="0.2">
      <c r="A58" s="3" t="str">
        <f t="shared" si="28"/>
        <v>adrb2_human_5D6L</v>
      </c>
      <c r="B58" s="3" t="s">
        <v>319</v>
      </c>
      <c r="C58" s="3" t="s">
        <v>1577</v>
      </c>
      <c r="D58" s="3" t="str">
        <f>IFERROR(MID(VLOOKUP($B58,Seqs!$A:$B,2,0),E58,1),"")</f>
        <v>D</v>
      </c>
      <c r="E58" s="3">
        <v>29</v>
      </c>
      <c r="F58" s="3" t="str">
        <f>IFERROR(MID(VLOOKUP($B58,Seqs!$A:$B,2,0),G58,1),"")</f>
        <v>F</v>
      </c>
      <c r="G58" s="3">
        <v>61</v>
      </c>
      <c r="H58" s="3" t="str">
        <f>IFERROR(MID(VLOOKUP($B58,Seqs!$A:$B,2,0),I58,1),"")</f>
        <v>E</v>
      </c>
      <c r="I58" s="57">
        <v>62</v>
      </c>
      <c r="J58" s="3" t="str">
        <f>IFERROR(MID(VLOOKUP($B58,Seqs!$A:$B,2,0),K58,1),"")</f>
        <v>Q</v>
      </c>
      <c r="K58" s="57">
        <v>65</v>
      </c>
      <c r="L58" s="3" t="str">
        <f>IFERROR(MID(VLOOKUP($B58,Seqs!$A:$B,2,0),M58,1),"")</f>
        <v>T</v>
      </c>
      <c r="M58" s="3">
        <v>66</v>
      </c>
      <c r="N58" s="3" t="str">
        <f>IFERROR(MID(VLOOKUP($B58,Seqs!$A:$B,2,0),O58,1),"")</f>
        <v>M</v>
      </c>
      <c r="O58" s="3">
        <v>96</v>
      </c>
      <c r="P58" s="3" t="str">
        <f>IFERROR(MID(VLOOKUP($B58,Seqs!$A:$B,2,0),Q58,1),"")</f>
        <v>M</v>
      </c>
      <c r="Q58" s="3">
        <v>98</v>
      </c>
      <c r="R58" s="3" t="str">
        <f>IFERROR(MID(VLOOKUP($B58,Seqs!$A:$B,2,0),S58,1),"")</f>
        <v>F</v>
      </c>
      <c r="S58" s="3">
        <v>101</v>
      </c>
      <c r="T58" s="3" t="str">
        <f>IFERROR(MID(VLOOKUP($B58,Seqs!$A:$B,2,0),U58,1),"")</f>
        <v>G</v>
      </c>
      <c r="U58" s="3">
        <v>102</v>
      </c>
      <c r="V58" s="3" t="str">
        <f>IFERROR(MID(VLOOKUP($B58,Seqs!$A:$B,2,0),W58,1),"")</f>
        <v>S</v>
      </c>
      <c r="W58" s="3">
        <v>137</v>
      </c>
      <c r="X58" s="3" t="str">
        <f>IFERROR(MID(VLOOKUP($B58,Seqs!$A:$B,2,0),Y58,1),"")</f>
        <v/>
      </c>
      <c r="Y58" s="3" t="s">
        <v>129</v>
      </c>
      <c r="Z58" s="3" t="str">
        <f>IFERROR(MID(VLOOKUP($B58,Seqs!$A:$B,2,0),AA58,1),"")</f>
        <v/>
      </c>
      <c r="AA58" s="3" t="s">
        <v>129</v>
      </c>
      <c r="AB58" s="3" t="str">
        <f>IFERROR(MID(VLOOKUP($B58,Seqs!$A:$B,2,0),AC58,1),"")</f>
        <v>K</v>
      </c>
      <c r="AC58" s="3">
        <v>147</v>
      </c>
      <c r="AD58" s="3" t="str">
        <f>IFERROR(MID(VLOOKUP($B58,Seqs!$A:$B,2,0),AE58,1),"")</f>
        <v>H</v>
      </c>
      <c r="AE58" s="3">
        <v>172</v>
      </c>
      <c r="AF58" s="3" t="str">
        <f>IFERROR(MID(VLOOKUP($B58,Seqs!$A:$B,2,0),AG58,1),"")</f>
        <v>C</v>
      </c>
      <c r="AG58" s="3">
        <v>191</v>
      </c>
      <c r="AH58" s="3" t="str">
        <f>IFERROR(MID(VLOOKUP($B58,Seqs!$A:$B,2,0),AI58,1),"")</f>
        <v>F</v>
      </c>
      <c r="AI58" s="3">
        <v>193</v>
      </c>
      <c r="AJ58" s="3" t="str">
        <f>IFERROR(MID(VLOOKUP($B58,Seqs!$A:$B,2,0),AK58,1),"")</f>
        <v>N</v>
      </c>
      <c r="AK58" s="3">
        <v>196</v>
      </c>
      <c r="AL58" s="3" t="str">
        <f>IFERROR(MID(VLOOKUP($B58,Seqs!$A:$B,2,0),AM58,1),"")</f>
        <v>Q</v>
      </c>
      <c r="AM58" s="3">
        <v>229</v>
      </c>
      <c r="AN58" s="3" t="str">
        <f>IFERROR(MID(VLOOKUP($B58,Seqs!$A:$B,2,0),AO58,1),"")</f>
        <v>K</v>
      </c>
      <c r="AO58" s="3">
        <v>267</v>
      </c>
      <c r="AP58" s="3" t="str">
        <f>IFERROR(MID(VLOOKUP($B58,Seqs!$A:$B,2,0),AQ58,1),"")</f>
        <v>Q</v>
      </c>
      <c r="AQ58" s="3">
        <v>299</v>
      </c>
      <c r="AR58" s="3" t="str">
        <f>IFERROR(MID(VLOOKUP($B58,Seqs!$A:$B,2,0),AS58,1),"")</f>
        <v>R</v>
      </c>
      <c r="AS58" s="3">
        <v>304</v>
      </c>
      <c r="AT58" s="3" t="str">
        <f>IFERROR(MID(VLOOKUP($B58,Seqs!$A:$B,2,0),AU58,1),"")</f>
        <v>R</v>
      </c>
      <c r="AU58" s="3">
        <v>328</v>
      </c>
      <c r="AV58" s="3" t="str">
        <f>IFERROR(MID(VLOOKUP($B58,Seqs!$A:$B,2,0),AW58,1),"")</f>
        <v>S</v>
      </c>
      <c r="AW58" s="3">
        <v>329</v>
      </c>
      <c r="AX58" s="3" t="str">
        <f>IFERROR(MID(VLOOKUP($B58,Seqs!$A:$B,2,0),AY58,1),"")</f>
        <v>C</v>
      </c>
      <c r="AY58" s="3">
        <v>341</v>
      </c>
      <c r="AZ58" s="90" t="s">
        <v>9</v>
      </c>
      <c r="BA58" s="124" t="str">
        <f>VLOOKUP(B58,Classification!A:D,2,0)</f>
        <v>A</v>
      </c>
      <c r="BB58" s="90" t="s">
        <v>1596</v>
      </c>
      <c r="BC58" s="1"/>
      <c r="BD58" s="1"/>
      <c r="BE58" s="57">
        <f t="shared" si="29"/>
        <v>243</v>
      </c>
      <c r="BF58" s="63" t="b">
        <f t="shared" si="30"/>
        <v>1</v>
      </c>
      <c r="BG58" s="116" t="s">
        <v>1513</v>
      </c>
      <c r="BH58" s="102" t="s">
        <v>1513</v>
      </c>
      <c r="BI58" s="102" t="s">
        <v>1513</v>
      </c>
      <c r="BJ58" s="102" t="s">
        <v>1513</v>
      </c>
      <c r="BK58" s="102" t="s">
        <v>1513</v>
      </c>
      <c r="BL58" s="102" t="s">
        <v>1513</v>
      </c>
      <c r="BM58" s="102" t="s">
        <v>1513</v>
      </c>
      <c r="BN58" s="102" t="s">
        <v>1513</v>
      </c>
      <c r="BO58" s="102" t="s">
        <v>1513</v>
      </c>
      <c r="BP58" s="102" t="s">
        <v>1513</v>
      </c>
      <c r="BQ58" s="102" t="s">
        <v>1513</v>
      </c>
      <c r="BR58" s="102" t="s">
        <v>1513</v>
      </c>
      <c r="BS58" s="116">
        <f t="shared" si="31"/>
        <v>29</v>
      </c>
      <c r="BT58" s="117">
        <f t="shared" si="32"/>
        <v>62</v>
      </c>
      <c r="BU58" s="118">
        <f t="shared" si="33"/>
        <v>66</v>
      </c>
      <c r="BV58" s="117">
        <f t="shared" si="34"/>
        <v>98</v>
      </c>
      <c r="BW58" s="118">
        <f t="shared" si="35"/>
        <v>102</v>
      </c>
      <c r="BX58" s="117" t="str">
        <f t="shared" si="36"/>
        <v>-</v>
      </c>
      <c r="BY58" s="118">
        <f t="shared" si="37"/>
        <v>147</v>
      </c>
      <c r="BZ58" s="117">
        <f t="shared" si="38"/>
        <v>191</v>
      </c>
      <c r="CA58" s="118">
        <f t="shared" si="39"/>
        <v>196</v>
      </c>
      <c r="CB58" s="117">
        <f t="shared" si="40"/>
        <v>267</v>
      </c>
      <c r="CC58" s="118">
        <f t="shared" si="41"/>
        <v>304</v>
      </c>
      <c r="CD58" s="117">
        <f t="shared" si="42"/>
        <v>329</v>
      </c>
      <c r="CE58" s="116">
        <f t="shared" si="43"/>
        <v>61</v>
      </c>
      <c r="CF58" s="117">
        <f t="shared" si="44"/>
        <v>65</v>
      </c>
      <c r="CG58" s="118">
        <f t="shared" si="45"/>
        <v>96</v>
      </c>
      <c r="CH58" s="118">
        <f t="shared" si="46"/>
        <v>101</v>
      </c>
      <c r="CI58" s="118">
        <f t="shared" si="47"/>
        <v>137</v>
      </c>
      <c r="CJ58" s="118" t="str">
        <f t="shared" si="48"/>
        <v>-</v>
      </c>
      <c r="CK58" s="118">
        <f t="shared" si="49"/>
        <v>172</v>
      </c>
      <c r="CL58" s="118">
        <f t="shared" si="50"/>
        <v>193</v>
      </c>
      <c r="CM58" s="118">
        <f t="shared" si="51"/>
        <v>229</v>
      </c>
      <c r="CN58" s="118">
        <f t="shared" si="52"/>
        <v>299</v>
      </c>
      <c r="CO58" s="118">
        <f t="shared" si="53"/>
        <v>328</v>
      </c>
      <c r="CP58" s="118">
        <f t="shared" si="54"/>
        <v>341</v>
      </c>
      <c r="CQ58" s="57">
        <f t="shared" si="55"/>
        <v>1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</row>
    <row r="59" spans="1:1026" x14ac:dyDescent="0.2">
      <c r="A59" s="3" t="str">
        <f t="shared" si="28"/>
        <v>adrb2_human_5JQH</v>
      </c>
      <c r="B59" s="3" t="s">
        <v>319</v>
      </c>
      <c r="C59" s="3" t="s">
        <v>1578</v>
      </c>
      <c r="D59" s="3" t="str">
        <f>IFERROR(MID(VLOOKUP($B59,Seqs!$A:$B,2,0),E59,1),"")</f>
        <v>D</v>
      </c>
      <c r="E59" s="3">
        <v>23</v>
      </c>
      <c r="F59" s="3" t="str">
        <f>IFERROR(MID(VLOOKUP($B59,Seqs!$A:$B,2,0),G59,1),"")</f>
        <v>F</v>
      </c>
      <c r="G59" s="3">
        <v>61</v>
      </c>
      <c r="H59" s="3" t="str">
        <f>IFERROR(MID(VLOOKUP($B59,Seqs!$A:$B,2,0),I59,1),"")</f>
        <v>E</v>
      </c>
      <c r="I59" s="57">
        <v>62</v>
      </c>
      <c r="J59" s="3" t="str">
        <f>IFERROR(MID(VLOOKUP($B59,Seqs!$A:$B,2,0),K59,1),"")</f>
        <v>Q</v>
      </c>
      <c r="K59" s="57">
        <v>65</v>
      </c>
      <c r="L59" s="3" t="str">
        <f>IFERROR(MID(VLOOKUP($B59,Seqs!$A:$B,2,0),M59,1),"")</f>
        <v>T</v>
      </c>
      <c r="M59" s="3">
        <v>66</v>
      </c>
      <c r="N59" s="3" t="str">
        <f>IFERROR(MID(VLOOKUP($B59,Seqs!$A:$B,2,0),O59,1),"")</f>
        <v>M</v>
      </c>
      <c r="O59" s="3">
        <v>96</v>
      </c>
      <c r="P59" s="3" t="str">
        <f>IFERROR(MID(VLOOKUP($B59,Seqs!$A:$B,2,0),Q59,1),"")</f>
        <v>M</v>
      </c>
      <c r="Q59" s="3">
        <v>98</v>
      </c>
      <c r="R59" s="3" t="str">
        <f>IFERROR(MID(VLOOKUP($B59,Seqs!$A:$B,2,0),S59,1),"")</f>
        <v>F</v>
      </c>
      <c r="S59" s="3">
        <v>101</v>
      </c>
      <c r="T59" s="3" t="str">
        <f>IFERROR(MID(VLOOKUP($B59,Seqs!$A:$B,2,0),U59,1),"")</f>
        <v>G</v>
      </c>
      <c r="U59" s="3">
        <v>102</v>
      </c>
      <c r="V59" s="3" t="str">
        <f>IFERROR(MID(VLOOKUP($B59,Seqs!$A:$B,2,0),W59,1),"")</f>
        <v>S</v>
      </c>
      <c r="W59" s="3">
        <v>137</v>
      </c>
      <c r="X59" s="3" t="str">
        <f>IFERROR(MID(VLOOKUP($B59,Seqs!$A:$B,2,0),Y59,1),"")</f>
        <v/>
      </c>
      <c r="Y59" s="3" t="s">
        <v>129</v>
      </c>
      <c r="Z59" s="3" t="str">
        <f>IFERROR(MID(VLOOKUP($B59,Seqs!$A:$B,2,0),AA59,1),"")</f>
        <v/>
      </c>
      <c r="AA59" s="3" t="s">
        <v>129</v>
      </c>
      <c r="AB59" s="3" t="str">
        <f>IFERROR(MID(VLOOKUP($B59,Seqs!$A:$B,2,0),AC59,1),"")</f>
        <v>K</v>
      </c>
      <c r="AC59" s="3">
        <v>147</v>
      </c>
      <c r="AD59" s="3" t="str">
        <f>IFERROR(MID(VLOOKUP($B59,Seqs!$A:$B,2,0),AE59,1),"")</f>
        <v>H</v>
      </c>
      <c r="AE59" s="3">
        <v>172</v>
      </c>
      <c r="AF59" s="3" t="str">
        <f>IFERROR(MID(VLOOKUP($B59,Seqs!$A:$B,2,0),AG59,1),"")</f>
        <v>C</v>
      </c>
      <c r="AG59" s="3">
        <v>191</v>
      </c>
      <c r="AH59" s="3" t="str">
        <f>IFERROR(MID(VLOOKUP($B59,Seqs!$A:$B,2,0),AI59,1),"")</f>
        <v>F</v>
      </c>
      <c r="AI59" s="3">
        <v>193</v>
      </c>
      <c r="AJ59" s="3" t="str">
        <f>IFERROR(MID(VLOOKUP($B59,Seqs!$A:$B,2,0),AK59,1),"")</f>
        <v>N</v>
      </c>
      <c r="AK59" s="3">
        <v>196</v>
      </c>
      <c r="AL59" s="3" t="str">
        <f>IFERROR(MID(VLOOKUP($B59,Seqs!$A:$B,2,0),AM59,1),"")</f>
        <v>L</v>
      </c>
      <c r="AM59" s="3">
        <v>230</v>
      </c>
      <c r="AN59" s="3" t="str">
        <f>IFERROR(MID(VLOOKUP($B59,Seqs!$A:$B,2,0),AO59,1),"")</f>
        <v>A</v>
      </c>
      <c r="AO59" s="127">
        <v>271</v>
      </c>
      <c r="AP59" s="3" t="str">
        <f>IFERROR(MID(VLOOKUP($B59,Seqs!$A:$B,2,0),AQ59,1),"")</f>
        <v>Q</v>
      </c>
      <c r="AQ59" s="3">
        <v>299</v>
      </c>
      <c r="AR59" s="3" t="str">
        <f>IFERROR(MID(VLOOKUP($B59,Seqs!$A:$B,2,0),AS59,1),"")</f>
        <v>R</v>
      </c>
      <c r="AS59" s="3">
        <v>304</v>
      </c>
      <c r="AT59" s="3" t="str">
        <f>IFERROR(MID(VLOOKUP($B59,Seqs!$A:$B,2,0),AU59,1),"")</f>
        <v>R</v>
      </c>
      <c r="AU59" s="3">
        <v>328</v>
      </c>
      <c r="AV59" s="3" t="str">
        <f>IFERROR(MID(VLOOKUP($B59,Seqs!$A:$B,2,0),AW59,1),"")</f>
        <v>S</v>
      </c>
      <c r="AW59" s="3">
        <v>329</v>
      </c>
      <c r="AX59" s="3" t="str">
        <f>IFERROR(MID(VLOOKUP($B59,Seqs!$A:$B,2,0),AY59,1),"")</f>
        <v>C</v>
      </c>
      <c r="AY59" s="3">
        <v>341</v>
      </c>
      <c r="AZ59" s="90" t="s">
        <v>1507</v>
      </c>
      <c r="BA59" s="124" t="str">
        <f>VLOOKUP(B59,Classification!A:D,2,0)</f>
        <v>A</v>
      </c>
      <c r="BB59" s="90" t="s">
        <v>1596</v>
      </c>
      <c r="BC59" s="1"/>
      <c r="BD59" s="1"/>
      <c r="BE59" s="57">
        <f t="shared" si="29"/>
        <v>246</v>
      </c>
      <c r="BF59" s="63" t="b">
        <f t="shared" si="30"/>
        <v>1</v>
      </c>
      <c r="BG59" s="116" t="s">
        <v>1513</v>
      </c>
      <c r="BH59" s="102" t="s">
        <v>1513</v>
      </c>
      <c r="BI59" s="102" t="s">
        <v>1513</v>
      </c>
      <c r="BJ59" s="102" t="s">
        <v>1513</v>
      </c>
      <c r="BK59" s="102" t="s">
        <v>1513</v>
      </c>
      <c r="BL59" s="102" t="s">
        <v>1513</v>
      </c>
      <c r="BM59" s="102" t="s">
        <v>1513</v>
      </c>
      <c r="BN59" s="102" t="s">
        <v>1513</v>
      </c>
      <c r="BO59" s="102" t="s">
        <v>1513</v>
      </c>
      <c r="BP59" s="102" t="s">
        <v>1513</v>
      </c>
      <c r="BQ59" s="102" t="s">
        <v>1513</v>
      </c>
      <c r="BR59" s="102" t="s">
        <v>1513</v>
      </c>
      <c r="BS59" s="116">
        <f t="shared" si="31"/>
        <v>23</v>
      </c>
      <c r="BT59" s="117">
        <f t="shared" si="32"/>
        <v>62</v>
      </c>
      <c r="BU59" s="118">
        <f t="shared" si="33"/>
        <v>66</v>
      </c>
      <c r="BV59" s="117">
        <f t="shared" si="34"/>
        <v>98</v>
      </c>
      <c r="BW59" s="118">
        <f t="shared" si="35"/>
        <v>102</v>
      </c>
      <c r="BX59" s="117" t="str">
        <f t="shared" si="36"/>
        <v>-</v>
      </c>
      <c r="BY59" s="118">
        <f t="shared" si="37"/>
        <v>147</v>
      </c>
      <c r="BZ59" s="117">
        <f t="shared" si="38"/>
        <v>191</v>
      </c>
      <c r="CA59" s="118">
        <f t="shared" si="39"/>
        <v>196</v>
      </c>
      <c r="CB59" s="117">
        <f t="shared" si="40"/>
        <v>271</v>
      </c>
      <c r="CC59" s="118">
        <f t="shared" si="41"/>
        <v>304</v>
      </c>
      <c r="CD59" s="117">
        <f t="shared" si="42"/>
        <v>329</v>
      </c>
      <c r="CE59" s="116">
        <f t="shared" si="43"/>
        <v>61</v>
      </c>
      <c r="CF59" s="117">
        <f t="shared" si="44"/>
        <v>65</v>
      </c>
      <c r="CG59" s="118">
        <f t="shared" si="45"/>
        <v>96</v>
      </c>
      <c r="CH59" s="118">
        <f t="shared" si="46"/>
        <v>101</v>
      </c>
      <c r="CI59" s="118">
        <f t="shared" si="47"/>
        <v>137</v>
      </c>
      <c r="CJ59" s="118" t="str">
        <f t="shared" si="48"/>
        <v>-</v>
      </c>
      <c r="CK59" s="118">
        <f t="shared" si="49"/>
        <v>172</v>
      </c>
      <c r="CL59" s="118">
        <f t="shared" si="50"/>
        <v>193</v>
      </c>
      <c r="CM59" s="118">
        <f t="shared" si="51"/>
        <v>230</v>
      </c>
      <c r="CN59" s="118">
        <f t="shared" si="52"/>
        <v>299</v>
      </c>
      <c r="CO59" s="118">
        <f t="shared" si="53"/>
        <v>328</v>
      </c>
      <c r="CP59" s="118">
        <f t="shared" si="54"/>
        <v>341</v>
      </c>
      <c r="CQ59" s="57">
        <f t="shared" si="55"/>
        <v>1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</row>
    <row r="60" spans="1:1026" x14ac:dyDescent="0.2">
      <c r="A60" s="3" t="str">
        <f t="shared" si="28"/>
        <v>adrb2_human_2RH1</v>
      </c>
      <c r="B60" s="3" t="s">
        <v>319</v>
      </c>
      <c r="C60" s="3" t="s">
        <v>265</v>
      </c>
      <c r="D60" s="3" t="str">
        <f>IFERROR(MID(VLOOKUP($B60,Seqs!$A:$B,2,0),E60,1),"")</f>
        <v>D</v>
      </c>
      <c r="E60" s="3">
        <v>29</v>
      </c>
      <c r="F60" s="3" t="str">
        <f>IFERROR(MID(VLOOKUP($B60,Seqs!$A:$B,2,0),G60,1),"")</f>
        <v>F</v>
      </c>
      <c r="G60" s="3">
        <v>61</v>
      </c>
      <c r="H60" s="3" t="str">
        <f>IFERROR(MID(VLOOKUP($B60,Seqs!$A:$B,2,0),I60,1),"")</f>
        <v>E</v>
      </c>
      <c r="I60" s="57">
        <v>62</v>
      </c>
      <c r="J60" s="3" t="str">
        <f>IFERROR(MID(VLOOKUP($B60,Seqs!$A:$B,2,0),K60,1),"")</f>
        <v>Q</v>
      </c>
      <c r="K60" s="57">
        <v>65</v>
      </c>
      <c r="L60" s="3" t="str">
        <f>IFERROR(MID(VLOOKUP($B60,Seqs!$A:$B,2,0),M60,1),"")</f>
        <v>T</v>
      </c>
      <c r="M60" s="3">
        <v>66</v>
      </c>
      <c r="N60" s="3" t="str">
        <f>IFERROR(MID(VLOOKUP($B60,Seqs!$A:$B,2,0),O60,1),"")</f>
        <v>M</v>
      </c>
      <c r="O60" s="3">
        <v>96</v>
      </c>
      <c r="P60" s="3" t="str">
        <f>IFERROR(MID(VLOOKUP($B60,Seqs!$A:$B,2,0),Q60,1),"")</f>
        <v>M</v>
      </c>
      <c r="Q60" s="3">
        <v>98</v>
      </c>
      <c r="R60" s="3" t="str">
        <f>IFERROR(MID(VLOOKUP($B60,Seqs!$A:$B,2,0),S60,1),"")</f>
        <v>F</v>
      </c>
      <c r="S60" s="3">
        <v>101</v>
      </c>
      <c r="T60" s="3" t="str">
        <f>IFERROR(MID(VLOOKUP($B60,Seqs!$A:$B,2,0),U60,1),"")</f>
        <v>G</v>
      </c>
      <c r="U60" s="3">
        <v>102</v>
      </c>
      <c r="V60" s="3" t="str">
        <f>IFERROR(MID(VLOOKUP($B60,Seqs!$A:$B,2,0),W60,1),"")</f>
        <v>S</v>
      </c>
      <c r="W60" s="3">
        <v>137</v>
      </c>
      <c r="X60" s="3" t="str">
        <f>IFERROR(MID(VLOOKUP($B60,Seqs!$A:$B,2,0),Y60,1),"")</f>
        <v/>
      </c>
      <c r="Y60" s="3" t="s">
        <v>129</v>
      </c>
      <c r="Z60" s="3" t="str">
        <f>IFERROR(MID(VLOOKUP($B60,Seqs!$A:$B,2,0),AA60,1),"")</f>
        <v/>
      </c>
      <c r="AA60" s="3" t="s">
        <v>129</v>
      </c>
      <c r="AB60" s="3" t="str">
        <f>IFERROR(MID(VLOOKUP($B60,Seqs!$A:$B,2,0),AC60,1),"")</f>
        <v>K</v>
      </c>
      <c r="AC60" s="3">
        <v>147</v>
      </c>
      <c r="AD60" s="3" t="str">
        <f>IFERROR(MID(VLOOKUP($B60,Seqs!$A:$B,2,0),AE60,1),"")</f>
        <v>H</v>
      </c>
      <c r="AE60" s="3">
        <v>172</v>
      </c>
      <c r="AF60" s="3" t="str">
        <f>IFERROR(MID(VLOOKUP($B60,Seqs!$A:$B,2,0),AG60,1),"")</f>
        <v>C</v>
      </c>
      <c r="AG60" s="3">
        <v>191</v>
      </c>
      <c r="AH60" s="3" t="str">
        <f>IFERROR(MID(VLOOKUP($B60,Seqs!$A:$B,2,0),AI60,1),"")</f>
        <v>F</v>
      </c>
      <c r="AI60" s="3">
        <v>193</v>
      </c>
      <c r="AJ60" s="3" t="str">
        <f>IFERROR(MID(VLOOKUP($B60,Seqs!$A:$B,2,0),AK60,1),"")</f>
        <v>N</v>
      </c>
      <c r="AK60" s="3">
        <v>196</v>
      </c>
      <c r="AL60" s="3" t="str">
        <f>IFERROR(MID(VLOOKUP($B60,Seqs!$A:$B,2,0),AM60,1),"")</f>
        <v>Q</v>
      </c>
      <c r="AM60" s="3">
        <v>229</v>
      </c>
      <c r="AN60" s="3" t="str">
        <f>IFERROR(MID(VLOOKUP($B60,Seqs!$A:$B,2,0),AO60,1),"")</f>
        <v>K</v>
      </c>
      <c r="AO60" s="3">
        <v>267</v>
      </c>
      <c r="AP60" s="3" t="str">
        <f>IFERROR(MID(VLOOKUP($B60,Seqs!$A:$B,2,0),AQ60,1),"")</f>
        <v>Q</v>
      </c>
      <c r="AQ60" s="3">
        <v>299</v>
      </c>
      <c r="AR60" s="3" t="str">
        <f>IFERROR(MID(VLOOKUP($B60,Seqs!$A:$B,2,0),AS60,1),"")</f>
        <v>R</v>
      </c>
      <c r="AS60" s="3">
        <v>304</v>
      </c>
      <c r="AT60" s="3" t="str">
        <f>IFERROR(MID(VLOOKUP($B60,Seqs!$A:$B,2,0),AU60,1),"")</f>
        <v>R</v>
      </c>
      <c r="AU60" s="3">
        <v>328</v>
      </c>
      <c r="AV60" s="3" t="str">
        <f>IFERROR(MID(VLOOKUP($B60,Seqs!$A:$B,2,0),AW60,1),"")</f>
        <v>S</v>
      </c>
      <c r="AW60" s="3">
        <v>329</v>
      </c>
      <c r="AX60" s="3" t="str">
        <f>IFERROR(MID(VLOOKUP($B60,Seqs!$A:$B,2,0),AY60,1),"")</f>
        <v>C</v>
      </c>
      <c r="AY60" s="3">
        <v>341</v>
      </c>
      <c r="BA60" s="124" t="str">
        <f>VLOOKUP(B60,Classification!A:D,2,0)</f>
        <v>A</v>
      </c>
      <c r="BC60" s="1"/>
      <c r="BD60" s="1"/>
      <c r="BE60" s="57">
        <f t="shared" si="29"/>
        <v>243</v>
      </c>
      <c r="BF60" s="63" t="b">
        <f t="shared" si="30"/>
        <v>1</v>
      </c>
      <c r="BG60" s="116" t="s">
        <v>1513</v>
      </c>
      <c r="BH60" s="102" t="s">
        <v>1513</v>
      </c>
      <c r="BI60" s="102" t="s">
        <v>1513</v>
      </c>
      <c r="BJ60" s="102" t="s">
        <v>1513</v>
      </c>
      <c r="BK60" s="102" t="s">
        <v>1513</v>
      </c>
      <c r="BL60" s="102" t="s">
        <v>1513</v>
      </c>
      <c r="BM60" s="102" t="s">
        <v>1513</v>
      </c>
      <c r="BN60" s="102" t="s">
        <v>1513</v>
      </c>
      <c r="BO60" s="102" t="s">
        <v>1513</v>
      </c>
      <c r="BP60" s="102" t="s">
        <v>1513</v>
      </c>
      <c r="BQ60" s="102" t="s">
        <v>1513</v>
      </c>
      <c r="BR60" s="102" t="s">
        <v>1513</v>
      </c>
      <c r="BS60" s="116">
        <f t="shared" si="31"/>
        <v>29</v>
      </c>
      <c r="BT60" s="117">
        <f t="shared" si="32"/>
        <v>62</v>
      </c>
      <c r="BU60" s="118">
        <f t="shared" si="33"/>
        <v>66</v>
      </c>
      <c r="BV60" s="117">
        <f t="shared" si="34"/>
        <v>98</v>
      </c>
      <c r="BW60" s="118">
        <f t="shared" si="35"/>
        <v>102</v>
      </c>
      <c r="BX60" s="117" t="str">
        <f t="shared" si="36"/>
        <v>-</v>
      </c>
      <c r="BY60" s="118">
        <f t="shared" si="37"/>
        <v>147</v>
      </c>
      <c r="BZ60" s="117">
        <f t="shared" si="38"/>
        <v>191</v>
      </c>
      <c r="CA60" s="118">
        <f t="shared" si="39"/>
        <v>196</v>
      </c>
      <c r="CB60" s="117">
        <f t="shared" si="40"/>
        <v>267</v>
      </c>
      <c r="CC60" s="118">
        <f t="shared" si="41"/>
        <v>304</v>
      </c>
      <c r="CD60" s="117">
        <f t="shared" si="42"/>
        <v>329</v>
      </c>
      <c r="CE60" s="116">
        <f t="shared" si="43"/>
        <v>61</v>
      </c>
      <c r="CF60" s="117">
        <f t="shared" si="44"/>
        <v>65</v>
      </c>
      <c r="CG60" s="118">
        <f t="shared" si="45"/>
        <v>96</v>
      </c>
      <c r="CH60" s="118">
        <f t="shared" si="46"/>
        <v>101</v>
      </c>
      <c r="CI60" s="118">
        <f t="shared" si="47"/>
        <v>137</v>
      </c>
      <c r="CJ60" s="118" t="str">
        <f t="shared" si="48"/>
        <v>-</v>
      </c>
      <c r="CK60" s="118">
        <f t="shared" si="49"/>
        <v>172</v>
      </c>
      <c r="CL60" s="118">
        <f t="shared" si="50"/>
        <v>193</v>
      </c>
      <c r="CM60" s="118">
        <f t="shared" si="51"/>
        <v>229</v>
      </c>
      <c r="CN60" s="118">
        <f t="shared" si="52"/>
        <v>299</v>
      </c>
      <c r="CO60" s="118">
        <f t="shared" si="53"/>
        <v>328</v>
      </c>
      <c r="CP60" s="118">
        <f t="shared" si="54"/>
        <v>341</v>
      </c>
      <c r="CQ60" s="57">
        <f t="shared" si="55"/>
        <v>1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</row>
    <row r="61" spans="1:1026" x14ac:dyDescent="0.2">
      <c r="A61" s="3" t="str">
        <f t="shared" si="28"/>
        <v>adrb2_human_3D4S</v>
      </c>
      <c r="B61" s="3" t="s">
        <v>319</v>
      </c>
      <c r="C61" s="3" t="s">
        <v>266</v>
      </c>
      <c r="D61" s="3" t="str">
        <f>IFERROR(MID(VLOOKUP($B61,Seqs!$A:$B,2,0),E61,1),"")</f>
        <v>W</v>
      </c>
      <c r="E61" s="3">
        <v>32</v>
      </c>
      <c r="F61" s="3" t="str">
        <f>IFERROR(MID(VLOOKUP($B61,Seqs!$A:$B,2,0),G61,1),"")</f>
        <v>F</v>
      </c>
      <c r="G61" s="3">
        <v>61</v>
      </c>
      <c r="H61" s="3" t="str">
        <f>IFERROR(MID(VLOOKUP($B61,Seqs!$A:$B,2,0),I61,1),"")</f>
        <v>E</v>
      </c>
      <c r="I61" s="57">
        <v>62</v>
      </c>
      <c r="J61" s="3" t="str">
        <f>IFERROR(MID(VLOOKUP($B61,Seqs!$A:$B,2,0),K61,1),"")</f>
        <v>Q</v>
      </c>
      <c r="K61" s="57">
        <v>65</v>
      </c>
      <c r="L61" s="3" t="str">
        <f>IFERROR(MID(VLOOKUP($B61,Seqs!$A:$B,2,0),M61,1),"")</f>
        <v>T</v>
      </c>
      <c r="M61" s="3">
        <v>66</v>
      </c>
      <c r="N61" s="3" t="str">
        <f>IFERROR(MID(VLOOKUP($B61,Seqs!$A:$B,2,0),O61,1),"")</f>
        <v>M</v>
      </c>
      <c r="O61" s="3">
        <v>96</v>
      </c>
      <c r="P61" s="3" t="str">
        <f>IFERROR(MID(VLOOKUP($B61,Seqs!$A:$B,2,0),Q61,1),"")</f>
        <v>M</v>
      </c>
      <c r="Q61" s="3">
        <v>98</v>
      </c>
      <c r="R61" s="3" t="str">
        <f>IFERROR(MID(VLOOKUP($B61,Seqs!$A:$B,2,0),S61,1),"")</f>
        <v>F</v>
      </c>
      <c r="S61" s="3">
        <v>101</v>
      </c>
      <c r="T61" s="3" t="str">
        <f>IFERROR(MID(VLOOKUP($B61,Seqs!$A:$B,2,0),U61,1),"")</f>
        <v>G</v>
      </c>
      <c r="U61" s="3">
        <v>102</v>
      </c>
      <c r="V61" s="3" t="str">
        <f>IFERROR(MID(VLOOKUP($B61,Seqs!$A:$B,2,0),W61,1),"")</f>
        <v>S</v>
      </c>
      <c r="W61" s="3">
        <v>137</v>
      </c>
      <c r="X61" s="3" t="str">
        <f>IFERROR(MID(VLOOKUP($B61,Seqs!$A:$B,2,0),Y61,1),"")</f>
        <v/>
      </c>
      <c r="Y61" s="3" t="s">
        <v>129</v>
      </c>
      <c r="Z61" s="3" t="str">
        <f>IFERROR(MID(VLOOKUP($B61,Seqs!$A:$B,2,0),AA61,1),"")</f>
        <v/>
      </c>
      <c r="AA61" s="3" t="s">
        <v>129</v>
      </c>
      <c r="AB61" s="3" t="str">
        <f>IFERROR(MID(VLOOKUP($B61,Seqs!$A:$B,2,0),AC61,1),"")</f>
        <v>K</v>
      </c>
      <c r="AC61" s="3">
        <v>147</v>
      </c>
      <c r="AD61" s="3" t="str">
        <f>IFERROR(MID(VLOOKUP($B61,Seqs!$A:$B,2,0),AE61,1),"")</f>
        <v>H</v>
      </c>
      <c r="AE61" s="3">
        <v>172</v>
      </c>
      <c r="AF61" s="3" t="str">
        <f>IFERROR(MID(VLOOKUP($B61,Seqs!$A:$B,2,0),AG61,1),"")</f>
        <v>C</v>
      </c>
      <c r="AG61" s="3">
        <v>191</v>
      </c>
      <c r="AH61" s="3" t="str">
        <f>IFERROR(MID(VLOOKUP($B61,Seqs!$A:$B,2,0),AI61,1),"")</f>
        <v>F</v>
      </c>
      <c r="AI61" s="3">
        <v>193</v>
      </c>
      <c r="AJ61" s="3" t="str">
        <f>IFERROR(MID(VLOOKUP($B61,Seqs!$A:$B,2,0),AK61,1),"")</f>
        <v>N</v>
      </c>
      <c r="AK61" s="3">
        <v>196</v>
      </c>
      <c r="AL61" s="3" t="str">
        <f>IFERROR(MID(VLOOKUP($B61,Seqs!$A:$B,2,0),AM61,1),"")</f>
        <v>Q</v>
      </c>
      <c r="AM61" s="3">
        <v>229</v>
      </c>
      <c r="AN61" s="3" t="str">
        <f>IFERROR(MID(VLOOKUP($B61,Seqs!$A:$B,2,0),AO61,1),"")</f>
        <v>K</v>
      </c>
      <c r="AO61" s="3">
        <v>267</v>
      </c>
      <c r="AP61" s="3" t="str">
        <f>IFERROR(MID(VLOOKUP($B61,Seqs!$A:$B,2,0),AQ61,1),"")</f>
        <v>Q</v>
      </c>
      <c r="AQ61" s="3">
        <v>299</v>
      </c>
      <c r="AR61" s="3" t="str">
        <f>IFERROR(MID(VLOOKUP($B61,Seqs!$A:$B,2,0),AS61,1),"")</f>
        <v>R</v>
      </c>
      <c r="AS61" s="3">
        <v>304</v>
      </c>
      <c r="AT61" s="3" t="str">
        <f>IFERROR(MID(VLOOKUP($B61,Seqs!$A:$B,2,0),AU61,1),"")</f>
        <v>R</v>
      </c>
      <c r="AU61" s="3">
        <v>328</v>
      </c>
      <c r="AV61" s="3" t="str">
        <f>IFERROR(MID(VLOOKUP($B61,Seqs!$A:$B,2,0),AW61,1),"")</f>
        <v>S</v>
      </c>
      <c r="AW61" s="3">
        <v>329</v>
      </c>
      <c r="AX61" s="3" t="str">
        <f>IFERROR(MID(VLOOKUP($B61,Seqs!$A:$B,2,0),AY61,1),"")</f>
        <v>C</v>
      </c>
      <c r="AY61" s="3">
        <v>341</v>
      </c>
      <c r="BA61" s="124" t="str">
        <f>VLOOKUP(B61,Classification!A:D,2,0)</f>
        <v>A</v>
      </c>
      <c r="BC61" s="1"/>
      <c r="BD61" s="1"/>
      <c r="BE61" s="57">
        <f t="shared" si="29"/>
        <v>240</v>
      </c>
      <c r="BF61" s="63" t="b">
        <f t="shared" si="30"/>
        <v>1</v>
      </c>
      <c r="BG61" s="116" t="s">
        <v>1513</v>
      </c>
      <c r="BH61" s="102" t="s">
        <v>1513</v>
      </c>
      <c r="BI61" s="102" t="s">
        <v>1513</v>
      </c>
      <c r="BJ61" s="102" t="s">
        <v>1513</v>
      </c>
      <c r="BK61" s="102" t="s">
        <v>1513</v>
      </c>
      <c r="BL61" s="102" t="s">
        <v>1513</v>
      </c>
      <c r="BM61" s="102" t="s">
        <v>1513</v>
      </c>
      <c r="BN61" s="102" t="s">
        <v>1513</v>
      </c>
      <c r="BO61" s="102" t="s">
        <v>1513</v>
      </c>
      <c r="BP61" s="102" t="s">
        <v>1513</v>
      </c>
      <c r="BQ61" s="102" t="s">
        <v>1513</v>
      </c>
      <c r="BR61" s="102" t="s">
        <v>1513</v>
      </c>
      <c r="BS61" s="116">
        <f t="shared" si="31"/>
        <v>32</v>
      </c>
      <c r="BT61" s="117">
        <f t="shared" si="32"/>
        <v>62</v>
      </c>
      <c r="BU61" s="118">
        <f t="shared" si="33"/>
        <v>66</v>
      </c>
      <c r="BV61" s="117">
        <f t="shared" si="34"/>
        <v>98</v>
      </c>
      <c r="BW61" s="118">
        <f t="shared" si="35"/>
        <v>102</v>
      </c>
      <c r="BX61" s="117" t="str">
        <f t="shared" si="36"/>
        <v>-</v>
      </c>
      <c r="BY61" s="118">
        <f t="shared" si="37"/>
        <v>147</v>
      </c>
      <c r="BZ61" s="117">
        <f t="shared" si="38"/>
        <v>191</v>
      </c>
      <c r="CA61" s="118">
        <f t="shared" si="39"/>
        <v>196</v>
      </c>
      <c r="CB61" s="117">
        <f t="shared" si="40"/>
        <v>267</v>
      </c>
      <c r="CC61" s="118">
        <f t="shared" si="41"/>
        <v>304</v>
      </c>
      <c r="CD61" s="117">
        <f t="shared" si="42"/>
        <v>329</v>
      </c>
      <c r="CE61" s="116">
        <f t="shared" si="43"/>
        <v>61</v>
      </c>
      <c r="CF61" s="117">
        <f t="shared" si="44"/>
        <v>65</v>
      </c>
      <c r="CG61" s="118">
        <f t="shared" si="45"/>
        <v>96</v>
      </c>
      <c r="CH61" s="118">
        <f t="shared" si="46"/>
        <v>101</v>
      </c>
      <c r="CI61" s="118">
        <f t="shared" si="47"/>
        <v>137</v>
      </c>
      <c r="CJ61" s="118" t="str">
        <f t="shared" si="48"/>
        <v>-</v>
      </c>
      <c r="CK61" s="118">
        <f t="shared" si="49"/>
        <v>172</v>
      </c>
      <c r="CL61" s="118">
        <f t="shared" si="50"/>
        <v>193</v>
      </c>
      <c r="CM61" s="118">
        <f t="shared" si="51"/>
        <v>229</v>
      </c>
      <c r="CN61" s="118">
        <f t="shared" si="52"/>
        <v>299</v>
      </c>
      <c r="CO61" s="118">
        <f t="shared" si="53"/>
        <v>328</v>
      </c>
      <c r="CP61" s="118">
        <f t="shared" si="54"/>
        <v>341</v>
      </c>
      <c r="CQ61" s="57">
        <f t="shared" si="55"/>
        <v>1</v>
      </c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</row>
    <row r="62" spans="1:1026" x14ac:dyDescent="0.2">
      <c r="A62" s="3" t="str">
        <f t="shared" si="28"/>
        <v>adrb2_human_3NY8</v>
      </c>
      <c r="B62" s="3" t="s">
        <v>319</v>
      </c>
      <c r="C62" s="3" t="s">
        <v>1567</v>
      </c>
      <c r="D62" s="3" t="str">
        <f>IFERROR(MID(VLOOKUP($B62,Seqs!$A:$B,2,0),E62,1),"")</f>
        <v>W</v>
      </c>
      <c r="E62" s="3">
        <v>32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57">
        <v>62</v>
      </c>
      <c r="J62" s="3" t="str">
        <f>IFERROR(MID(VLOOKUP($B62,Seqs!$A:$B,2,0),K62,1),"")</f>
        <v>Q</v>
      </c>
      <c r="K62" s="57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/>
      </c>
      <c r="Y62" s="3" t="s">
        <v>129</v>
      </c>
      <c r="Z62" s="3" t="str">
        <f>IFERROR(MID(VLOOKUP($B62,Seqs!$A:$B,2,0),AA62,1),"")</f>
        <v/>
      </c>
      <c r="AA62" s="3" t="s">
        <v>129</v>
      </c>
      <c r="AB62" s="3" t="str">
        <f>IFERROR(MID(VLOOKUP($B62,Seqs!$A:$B,2,0),AC62,1),"")</f>
        <v>K</v>
      </c>
      <c r="AC62" s="3">
        <v>147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Q</v>
      </c>
      <c r="AM62" s="3">
        <v>229</v>
      </c>
      <c r="AN62" s="3" t="str">
        <f>IFERROR(MID(VLOOKUP($B62,Seqs!$A:$B,2,0),AO62,1),"")</f>
        <v>K</v>
      </c>
      <c r="AO62" s="3">
        <v>267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BA62" s="124" t="str">
        <f>VLOOKUP(B62,Classification!A:D,2,0)</f>
        <v>A</v>
      </c>
      <c r="BC62" s="1"/>
      <c r="BD62" s="4"/>
      <c r="BE62" s="57">
        <f t="shared" si="29"/>
        <v>240</v>
      </c>
      <c r="BF62" s="63" t="b">
        <f t="shared" si="30"/>
        <v>1</v>
      </c>
      <c r="BG62" s="116" t="s">
        <v>1513</v>
      </c>
      <c r="BH62" s="102" t="s">
        <v>1513</v>
      </c>
      <c r="BI62" s="102" t="s">
        <v>1513</v>
      </c>
      <c r="BJ62" s="102" t="s">
        <v>1513</v>
      </c>
      <c r="BK62" s="102" t="s">
        <v>1513</v>
      </c>
      <c r="BL62" s="102" t="s">
        <v>1513</v>
      </c>
      <c r="BM62" s="102" t="s">
        <v>1513</v>
      </c>
      <c r="BN62" s="102" t="s">
        <v>1513</v>
      </c>
      <c r="BO62" s="102" t="s">
        <v>1513</v>
      </c>
      <c r="BP62" s="102" t="s">
        <v>1513</v>
      </c>
      <c r="BQ62" s="102" t="s">
        <v>1513</v>
      </c>
      <c r="BR62" s="102" t="s">
        <v>1513</v>
      </c>
      <c r="BS62" s="116">
        <f t="shared" si="31"/>
        <v>32</v>
      </c>
      <c r="BT62" s="117">
        <f t="shared" si="32"/>
        <v>62</v>
      </c>
      <c r="BU62" s="118">
        <f t="shared" si="33"/>
        <v>66</v>
      </c>
      <c r="BV62" s="117">
        <f t="shared" si="34"/>
        <v>98</v>
      </c>
      <c r="BW62" s="118">
        <f t="shared" si="35"/>
        <v>102</v>
      </c>
      <c r="BX62" s="117" t="str">
        <f t="shared" si="36"/>
        <v>-</v>
      </c>
      <c r="BY62" s="118">
        <f t="shared" si="37"/>
        <v>147</v>
      </c>
      <c r="BZ62" s="117">
        <f t="shared" si="38"/>
        <v>191</v>
      </c>
      <c r="CA62" s="118">
        <f t="shared" si="39"/>
        <v>196</v>
      </c>
      <c r="CB62" s="117">
        <f t="shared" si="40"/>
        <v>267</v>
      </c>
      <c r="CC62" s="118">
        <f t="shared" si="41"/>
        <v>304</v>
      </c>
      <c r="CD62" s="117">
        <f t="shared" si="42"/>
        <v>329</v>
      </c>
      <c r="CE62" s="116">
        <f t="shared" si="43"/>
        <v>61</v>
      </c>
      <c r="CF62" s="117">
        <f t="shared" si="44"/>
        <v>65</v>
      </c>
      <c r="CG62" s="118">
        <f t="shared" si="45"/>
        <v>96</v>
      </c>
      <c r="CH62" s="118">
        <f t="shared" si="46"/>
        <v>101</v>
      </c>
      <c r="CI62" s="118">
        <f t="shared" si="47"/>
        <v>137</v>
      </c>
      <c r="CJ62" s="118" t="str">
        <f t="shared" si="48"/>
        <v>-</v>
      </c>
      <c r="CK62" s="118">
        <f t="shared" si="49"/>
        <v>172</v>
      </c>
      <c r="CL62" s="118">
        <f t="shared" si="50"/>
        <v>193</v>
      </c>
      <c r="CM62" s="118">
        <f t="shared" si="51"/>
        <v>229</v>
      </c>
      <c r="CN62" s="118">
        <f t="shared" si="52"/>
        <v>299</v>
      </c>
      <c r="CO62" s="118">
        <f t="shared" si="53"/>
        <v>328</v>
      </c>
      <c r="CP62" s="118">
        <f t="shared" si="54"/>
        <v>341</v>
      </c>
      <c r="CQ62" s="57">
        <f t="shared" si="55"/>
        <v>1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</row>
    <row r="63" spans="1:1026" x14ac:dyDescent="0.2">
      <c r="A63" s="3" t="str">
        <f t="shared" si="28"/>
        <v>adrb2_human_3NY9</v>
      </c>
      <c r="B63" s="3" t="s">
        <v>319</v>
      </c>
      <c r="C63" s="3" t="s">
        <v>1235</v>
      </c>
      <c r="D63" s="3" t="str">
        <f>IFERROR(MID(VLOOKUP($B63,Seqs!$A:$B,2,0),E63,1),"")</f>
        <v>W</v>
      </c>
      <c r="E63" s="3">
        <v>32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57">
        <v>62</v>
      </c>
      <c r="J63" s="3" t="str">
        <f>IFERROR(MID(VLOOKUP($B63,Seqs!$A:$B,2,0),K63,1),"")</f>
        <v>Q</v>
      </c>
      <c r="K63" s="57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129</v>
      </c>
      <c r="Z63" s="3" t="str">
        <f>IFERROR(MID(VLOOKUP($B63,Seqs!$A:$B,2,0),AA63,1),"")</f>
        <v/>
      </c>
      <c r="AA63" s="3" t="s">
        <v>129</v>
      </c>
      <c r="AB63" s="3" t="str">
        <f>IFERROR(MID(VLOOKUP($B63,Seqs!$A:$B,2,0),AC63,1),"")</f>
        <v>K</v>
      </c>
      <c r="AC63" s="3">
        <v>147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BA63" s="124" t="str">
        <f>VLOOKUP(B63,Classification!A:D,2,0)</f>
        <v>A</v>
      </c>
      <c r="BC63" s="1"/>
      <c r="BD63" s="1"/>
      <c r="BE63" s="57">
        <f t="shared" si="29"/>
        <v>240</v>
      </c>
      <c r="BF63" s="63" t="b">
        <f t="shared" si="30"/>
        <v>1</v>
      </c>
      <c r="BG63" s="116" t="s">
        <v>1513</v>
      </c>
      <c r="BH63" s="102" t="s">
        <v>1513</v>
      </c>
      <c r="BI63" s="102" t="s">
        <v>1513</v>
      </c>
      <c r="BJ63" s="102" t="s">
        <v>1513</v>
      </c>
      <c r="BK63" s="102" t="s">
        <v>1513</v>
      </c>
      <c r="BL63" s="102" t="s">
        <v>1513</v>
      </c>
      <c r="BM63" s="102" t="s">
        <v>1513</v>
      </c>
      <c r="BN63" s="102" t="s">
        <v>1513</v>
      </c>
      <c r="BO63" s="102" t="s">
        <v>1513</v>
      </c>
      <c r="BP63" s="102" t="s">
        <v>1513</v>
      </c>
      <c r="BQ63" s="102" t="s">
        <v>1513</v>
      </c>
      <c r="BR63" s="102" t="s">
        <v>1513</v>
      </c>
      <c r="BS63" s="116">
        <f t="shared" si="31"/>
        <v>32</v>
      </c>
      <c r="BT63" s="117">
        <f t="shared" si="32"/>
        <v>62</v>
      </c>
      <c r="BU63" s="118">
        <f t="shared" si="33"/>
        <v>66</v>
      </c>
      <c r="BV63" s="117">
        <f t="shared" si="34"/>
        <v>98</v>
      </c>
      <c r="BW63" s="118">
        <f t="shared" si="35"/>
        <v>102</v>
      </c>
      <c r="BX63" s="117" t="str">
        <f t="shared" si="36"/>
        <v>-</v>
      </c>
      <c r="BY63" s="118">
        <f t="shared" si="37"/>
        <v>147</v>
      </c>
      <c r="BZ63" s="117">
        <f t="shared" si="38"/>
        <v>191</v>
      </c>
      <c r="CA63" s="118">
        <f t="shared" si="39"/>
        <v>196</v>
      </c>
      <c r="CB63" s="117">
        <f t="shared" si="40"/>
        <v>267</v>
      </c>
      <c r="CC63" s="118">
        <f t="shared" si="41"/>
        <v>304</v>
      </c>
      <c r="CD63" s="117">
        <f t="shared" si="42"/>
        <v>329</v>
      </c>
      <c r="CE63" s="116">
        <f t="shared" si="43"/>
        <v>61</v>
      </c>
      <c r="CF63" s="117">
        <f t="shared" si="44"/>
        <v>65</v>
      </c>
      <c r="CG63" s="118">
        <f t="shared" si="45"/>
        <v>96</v>
      </c>
      <c r="CH63" s="118">
        <f t="shared" si="46"/>
        <v>101</v>
      </c>
      <c r="CI63" s="118">
        <f t="shared" si="47"/>
        <v>137</v>
      </c>
      <c r="CJ63" s="118" t="str">
        <f t="shared" si="48"/>
        <v>-</v>
      </c>
      <c r="CK63" s="118">
        <f t="shared" si="49"/>
        <v>172</v>
      </c>
      <c r="CL63" s="118">
        <f t="shared" si="50"/>
        <v>193</v>
      </c>
      <c r="CM63" s="118">
        <f t="shared" si="51"/>
        <v>229</v>
      </c>
      <c r="CN63" s="118">
        <f t="shared" si="52"/>
        <v>299</v>
      </c>
      <c r="CO63" s="118">
        <f t="shared" si="53"/>
        <v>328</v>
      </c>
      <c r="CP63" s="118">
        <f t="shared" si="54"/>
        <v>341</v>
      </c>
      <c r="CQ63" s="57">
        <f t="shared" si="55"/>
        <v>1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</row>
    <row r="64" spans="1:1026" x14ac:dyDescent="0.2">
      <c r="A64" s="3" t="str">
        <f t="shared" si="28"/>
        <v>adrb2_human_3NYA</v>
      </c>
      <c r="B64" s="3" t="s">
        <v>319</v>
      </c>
      <c r="C64" s="3" t="s">
        <v>1568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57">
        <v>62</v>
      </c>
      <c r="J64" s="3" t="str">
        <f>IFERROR(MID(VLOOKUP($B64,Seqs!$A:$B,2,0),K64,1),"")</f>
        <v>Q</v>
      </c>
      <c r="K64" s="57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129</v>
      </c>
      <c r="Z64" s="3" t="str">
        <f>IFERROR(MID(VLOOKUP($B64,Seqs!$A:$B,2,0),AA64,1),"")</f>
        <v/>
      </c>
      <c r="AA64" s="3" t="s">
        <v>129</v>
      </c>
      <c r="AB64" s="3" t="str">
        <f>IFERROR(MID(VLOOKUP($B64,Seqs!$A:$B,2,0),AC64,1),"")</f>
        <v>K</v>
      </c>
      <c r="AC64" s="3">
        <v>147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BA64" s="124" t="str">
        <f>VLOOKUP(B64,Classification!A:D,2,0)</f>
        <v>A</v>
      </c>
      <c r="BC64" s="1"/>
      <c r="BD64" s="5"/>
      <c r="BE64" s="57">
        <f t="shared" si="29"/>
        <v>240</v>
      </c>
      <c r="BF64" s="63" t="b">
        <f t="shared" si="30"/>
        <v>1</v>
      </c>
      <c r="BG64" s="116" t="s">
        <v>1513</v>
      </c>
      <c r="BH64" s="102" t="s">
        <v>1513</v>
      </c>
      <c r="BI64" s="102" t="s">
        <v>1513</v>
      </c>
      <c r="BJ64" s="102" t="s">
        <v>1513</v>
      </c>
      <c r="BK64" s="102" t="s">
        <v>1513</v>
      </c>
      <c r="BL64" s="102" t="s">
        <v>1513</v>
      </c>
      <c r="BM64" s="102" t="s">
        <v>1513</v>
      </c>
      <c r="BN64" s="102" t="s">
        <v>1513</v>
      </c>
      <c r="BO64" s="102" t="s">
        <v>1513</v>
      </c>
      <c r="BP64" s="102" t="s">
        <v>1513</v>
      </c>
      <c r="BQ64" s="102" t="s">
        <v>1513</v>
      </c>
      <c r="BR64" s="102" t="s">
        <v>1513</v>
      </c>
      <c r="BS64" s="116">
        <f t="shared" si="31"/>
        <v>32</v>
      </c>
      <c r="BT64" s="117">
        <f t="shared" si="32"/>
        <v>62</v>
      </c>
      <c r="BU64" s="118">
        <f t="shared" si="33"/>
        <v>66</v>
      </c>
      <c r="BV64" s="117">
        <f t="shared" si="34"/>
        <v>98</v>
      </c>
      <c r="BW64" s="118">
        <f t="shared" si="35"/>
        <v>102</v>
      </c>
      <c r="BX64" s="117" t="str">
        <f t="shared" si="36"/>
        <v>-</v>
      </c>
      <c r="BY64" s="118">
        <f t="shared" si="37"/>
        <v>147</v>
      </c>
      <c r="BZ64" s="117">
        <f t="shared" si="38"/>
        <v>191</v>
      </c>
      <c r="CA64" s="118">
        <f t="shared" si="39"/>
        <v>196</v>
      </c>
      <c r="CB64" s="117">
        <f t="shared" si="40"/>
        <v>267</v>
      </c>
      <c r="CC64" s="118">
        <f t="shared" si="41"/>
        <v>304</v>
      </c>
      <c r="CD64" s="117">
        <f t="shared" si="42"/>
        <v>329</v>
      </c>
      <c r="CE64" s="116">
        <f t="shared" si="43"/>
        <v>61</v>
      </c>
      <c r="CF64" s="117">
        <f t="shared" si="44"/>
        <v>65</v>
      </c>
      <c r="CG64" s="118">
        <f t="shared" si="45"/>
        <v>96</v>
      </c>
      <c r="CH64" s="118">
        <f t="shared" si="46"/>
        <v>101</v>
      </c>
      <c r="CI64" s="118">
        <f t="shared" si="47"/>
        <v>137</v>
      </c>
      <c r="CJ64" s="118" t="str">
        <f t="shared" si="48"/>
        <v>-</v>
      </c>
      <c r="CK64" s="118">
        <f t="shared" si="49"/>
        <v>172</v>
      </c>
      <c r="CL64" s="118">
        <f t="shared" si="50"/>
        <v>193</v>
      </c>
      <c r="CM64" s="118">
        <f t="shared" si="51"/>
        <v>229</v>
      </c>
      <c r="CN64" s="118">
        <f t="shared" si="52"/>
        <v>299</v>
      </c>
      <c r="CO64" s="118">
        <f t="shared" si="53"/>
        <v>328</v>
      </c>
      <c r="CP64" s="118">
        <f t="shared" si="54"/>
        <v>341</v>
      </c>
      <c r="CQ64" s="57">
        <f t="shared" si="55"/>
        <v>1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</row>
    <row r="65" spans="1:1026" ht="17" customHeight="1" x14ac:dyDescent="0.2">
      <c r="A65" s="3" t="str">
        <f t="shared" si="28"/>
        <v>adrb2_human_3P0G</v>
      </c>
      <c r="B65" s="3" t="s">
        <v>319</v>
      </c>
      <c r="C65" s="3" t="s">
        <v>256</v>
      </c>
      <c r="D65" s="3" t="str">
        <f>IFERROR(MID(VLOOKUP($B65,Seqs!$A:$B,2,0),E65,1),"")</f>
        <v>Q</v>
      </c>
      <c r="E65" s="3">
        <v>26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57">
        <v>62</v>
      </c>
      <c r="J65" s="3" t="str">
        <f>IFERROR(MID(VLOOKUP($B65,Seqs!$A:$B,2,0),K65,1),"")</f>
        <v>Q</v>
      </c>
      <c r="K65" s="57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>P</v>
      </c>
      <c r="Y65" s="3">
        <v>138</v>
      </c>
      <c r="Z65" s="3" t="str">
        <f>IFERROR(MID(VLOOKUP($B65,Seqs!$A:$B,2,0),AA65,1),"")</f>
        <v>L</v>
      </c>
      <c r="AA65" s="3">
        <v>145</v>
      </c>
      <c r="AB65" s="3" t="str">
        <f>IFERROR(MID(VLOOKUP($B65,Seqs!$A:$B,2,0),AC65,1),"")</f>
        <v>K</v>
      </c>
      <c r="AC65" s="3">
        <v>147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A</v>
      </c>
      <c r="AM65" s="3">
        <v>226</v>
      </c>
      <c r="AN65" s="3" t="str">
        <f>IFERROR(MID(VLOOKUP($B65,Seqs!$A:$B,2,0),AO65,1),"")</f>
        <v>H</v>
      </c>
      <c r="AO65" s="3">
        <v>269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BA65" s="124" t="str">
        <f>VLOOKUP(B65,Classification!A:D,2,0)</f>
        <v>A</v>
      </c>
      <c r="BC65" s="1"/>
      <c r="BD65" s="1"/>
      <c r="BE65" s="57">
        <f t="shared" si="29"/>
        <v>248</v>
      </c>
      <c r="BF65" s="63" t="b">
        <f t="shared" si="30"/>
        <v>1</v>
      </c>
      <c r="BG65" s="116" t="s">
        <v>1513</v>
      </c>
      <c r="BH65" s="102" t="s">
        <v>1513</v>
      </c>
      <c r="BI65" s="102" t="s">
        <v>1513</v>
      </c>
      <c r="BJ65" s="102" t="s">
        <v>1513</v>
      </c>
      <c r="BK65" s="102" t="s">
        <v>1513</v>
      </c>
      <c r="BL65" s="102" t="s">
        <v>1513</v>
      </c>
      <c r="BM65" s="102" t="s">
        <v>1513</v>
      </c>
      <c r="BN65" s="102" t="s">
        <v>1513</v>
      </c>
      <c r="BO65" s="102" t="s">
        <v>1513</v>
      </c>
      <c r="BP65" s="102" t="s">
        <v>1513</v>
      </c>
      <c r="BQ65" s="102" t="s">
        <v>1513</v>
      </c>
      <c r="BR65" s="102" t="s">
        <v>1513</v>
      </c>
      <c r="BS65" s="116">
        <f t="shared" si="31"/>
        <v>26</v>
      </c>
      <c r="BT65" s="117">
        <f t="shared" si="32"/>
        <v>62</v>
      </c>
      <c r="BU65" s="118">
        <f t="shared" si="33"/>
        <v>66</v>
      </c>
      <c r="BV65" s="117">
        <f t="shared" si="34"/>
        <v>98</v>
      </c>
      <c r="BW65" s="118">
        <f t="shared" si="35"/>
        <v>102</v>
      </c>
      <c r="BX65" s="117">
        <f t="shared" si="36"/>
        <v>138</v>
      </c>
      <c r="BY65" s="118">
        <f t="shared" si="37"/>
        <v>147</v>
      </c>
      <c r="BZ65" s="117">
        <f t="shared" si="38"/>
        <v>191</v>
      </c>
      <c r="CA65" s="118">
        <f t="shared" si="39"/>
        <v>196</v>
      </c>
      <c r="CB65" s="117">
        <f t="shared" si="40"/>
        <v>269</v>
      </c>
      <c r="CC65" s="118">
        <f t="shared" si="41"/>
        <v>304</v>
      </c>
      <c r="CD65" s="117">
        <f t="shared" si="42"/>
        <v>329</v>
      </c>
      <c r="CE65" s="116">
        <f t="shared" si="43"/>
        <v>61</v>
      </c>
      <c r="CF65" s="117">
        <f t="shared" si="44"/>
        <v>65</v>
      </c>
      <c r="CG65" s="118">
        <f t="shared" si="45"/>
        <v>96</v>
      </c>
      <c r="CH65" s="118">
        <f t="shared" si="46"/>
        <v>101</v>
      </c>
      <c r="CI65" s="118">
        <f t="shared" si="47"/>
        <v>137</v>
      </c>
      <c r="CJ65" s="118">
        <f t="shared" si="48"/>
        <v>145</v>
      </c>
      <c r="CK65" s="118">
        <f t="shared" si="49"/>
        <v>172</v>
      </c>
      <c r="CL65" s="118">
        <f t="shared" si="50"/>
        <v>193</v>
      </c>
      <c r="CM65" s="118">
        <f t="shared" si="51"/>
        <v>226</v>
      </c>
      <c r="CN65" s="118">
        <f t="shared" si="52"/>
        <v>299</v>
      </c>
      <c r="CO65" s="118">
        <f t="shared" si="53"/>
        <v>328</v>
      </c>
      <c r="CP65" s="118">
        <f t="shared" si="54"/>
        <v>341</v>
      </c>
      <c r="CQ65" s="57">
        <f t="shared" si="55"/>
        <v>1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</row>
    <row r="66" spans="1:1026" x14ac:dyDescent="0.2">
      <c r="A66" s="3" t="str">
        <f t="shared" ref="A66:A84" si="56">CONCATENATE(B66,"_",C66)</f>
        <v>adrb2_human_3PDS</v>
      </c>
      <c r="B66" s="3" t="s">
        <v>319</v>
      </c>
      <c r="C66" s="3" t="s">
        <v>1569</v>
      </c>
      <c r="D66" s="3" t="str">
        <f>IFERROR(MID(VLOOKUP($B66,Seqs!$A:$B,2,0),E66,1),"")</f>
        <v>D</v>
      </c>
      <c r="E66" s="3">
        <v>29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57">
        <v>62</v>
      </c>
      <c r="J66" s="3" t="str">
        <f>IFERROR(MID(VLOOKUP($B66,Seqs!$A:$B,2,0),K66,1),"")</f>
        <v>Q</v>
      </c>
      <c r="K66" s="57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129</v>
      </c>
      <c r="Z66" s="3" t="str">
        <f>IFERROR(MID(VLOOKUP($B66,Seqs!$A:$B,2,0),AA66,1),"")</f>
        <v/>
      </c>
      <c r="AA66" s="3" t="s">
        <v>129</v>
      </c>
      <c r="AB66" s="3" t="str">
        <f>IFERROR(MID(VLOOKUP($B66,Seqs!$A:$B,2,0),AC66,1),"")</f>
        <v>K</v>
      </c>
      <c r="AC66" s="3">
        <v>147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L</v>
      </c>
      <c r="AO66" s="3">
        <v>266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BA66" s="124" t="str">
        <f>VLOOKUP(B66,Classification!A:D,2,0)</f>
        <v>A</v>
      </c>
      <c r="BC66" s="1"/>
      <c r="BD66" s="4"/>
      <c r="BE66" s="57">
        <f t="shared" ref="BE66:BE84" si="57">_xlfn.AGGREGATE(9,6,CE66:CP66)-_xlfn.AGGREGATE(9,6,BS66:CD66)+12</f>
        <v>244</v>
      </c>
      <c r="BF66" s="63" t="b">
        <f t="shared" ref="BF66:BF84" si="58">AND(E66&lt;G66,OR(G66&lt;I66,I66="-"),OR(I66&lt;K66,I66="-"),OR(K66&lt;M66,K66="-"),M66&lt;O66,OR(O66&lt;Q66,Q66="-"),OR(Q66&lt;S66,Q66="-"),OR(S66&lt;U66,S66="-"),U66&lt;W66,OR(W66&lt;Y66,Y66="-"),OR(Y66&lt;AA66,Y66="-"),OR(AA66&lt;AC66,AA66="-"),AC66&lt;AE66,OR(AE66&lt;AG66,AG66="-"),OR(AG66&lt;AI66,AG66="-"),OR(AI66&lt;AK66,AI66="-"),AK66&lt;AM66,AM66&lt;AO66,AO66&lt;AQ66,AQ66&lt;AS66,AS66&lt;AU66,OR(AU66&lt;AW66,AW66="-"),OR(AW66&lt;AY66,AW66="-"))</f>
        <v>1</v>
      </c>
      <c r="BG66" s="116" t="s">
        <v>1513</v>
      </c>
      <c r="BH66" s="102" t="s">
        <v>1513</v>
      </c>
      <c r="BI66" s="102" t="s">
        <v>1513</v>
      </c>
      <c r="BJ66" s="102" t="s">
        <v>1513</v>
      </c>
      <c r="BK66" s="102" t="s">
        <v>1513</v>
      </c>
      <c r="BL66" s="102" t="s">
        <v>1513</v>
      </c>
      <c r="BM66" s="102" t="s">
        <v>1513</v>
      </c>
      <c r="BN66" s="102" t="s">
        <v>1513</v>
      </c>
      <c r="BO66" s="102" t="s">
        <v>1513</v>
      </c>
      <c r="BP66" s="102" t="s">
        <v>1513</v>
      </c>
      <c r="BQ66" s="102" t="s">
        <v>1513</v>
      </c>
      <c r="BR66" s="102" t="s">
        <v>1513</v>
      </c>
      <c r="BS66" s="116">
        <f t="shared" ref="BS66:BS84" si="59">E66</f>
        <v>29</v>
      </c>
      <c r="BT66" s="117">
        <f t="shared" ref="BT66:BT84" si="60">I66</f>
        <v>62</v>
      </c>
      <c r="BU66" s="118">
        <f t="shared" ref="BU66:BU84" si="61">M66</f>
        <v>66</v>
      </c>
      <c r="BV66" s="117">
        <f t="shared" ref="BV66:BV84" si="62">Q66</f>
        <v>98</v>
      </c>
      <c r="BW66" s="118">
        <f t="shared" ref="BW66:BW84" si="63">U66</f>
        <v>102</v>
      </c>
      <c r="BX66" s="117" t="str">
        <f t="shared" ref="BX66:BX84" si="64">Y66</f>
        <v>-</v>
      </c>
      <c r="BY66" s="118">
        <f t="shared" ref="BY66:BY84" si="65">AC66</f>
        <v>147</v>
      </c>
      <c r="BZ66" s="117">
        <f t="shared" ref="BZ66:BZ84" si="66">AG66</f>
        <v>191</v>
      </c>
      <c r="CA66" s="118">
        <f t="shared" ref="CA66:CA84" si="67">AK66</f>
        <v>196</v>
      </c>
      <c r="CB66" s="117">
        <f t="shared" ref="CB66:CB84" si="68">AO66</f>
        <v>266</v>
      </c>
      <c r="CC66" s="118">
        <f t="shared" ref="CC66:CC84" si="69">AS66</f>
        <v>304</v>
      </c>
      <c r="CD66" s="117">
        <f t="shared" ref="CD66:CD84" si="70">AW66</f>
        <v>329</v>
      </c>
      <c r="CE66" s="116">
        <f t="shared" ref="CE66:CE84" si="71">G66</f>
        <v>61</v>
      </c>
      <c r="CF66" s="117">
        <f t="shared" ref="CF66:CF84" si="72">K66</f>
        <v>65</v>
      </c>
      <c r="CG66" s="118">
        <f t="shared" ref="CG66:CG84" si="73">O66</f>
        <v>96</v>
      </c>
      <c r="CH66" s="118">
        <f t="shared" ref="CH66:CH84" si="74">S66</f>
        <v>101</v>
      </c>
      <c r="CI66" s="118">
        <f t="shared" ref="CI66:CI84" si="75">W66</f>
        <v>137</v>
      </c>
      <c r="CJ66" s="118" t="str">
        <f t="shared" ref="CJ66:CJ84" si="76">AA66</f>
        <v>-</v>
      </c>
      <c r="CK66" s="118">
        <f t="shared" ref="CK66:CK84" si="77">AE66</f>
        <v>172</v>
      </c>
      <c r="CL66" s="118">
        <f t="shared" ref="CL66:CL84" si="78">AI66</f>
        <v>193</v>
      </c>
      <c r="CM66" s="118">
        <f t="shared" ref="CM66:CM84" si="79">AM66</f>
        <v>229</v>
      </c>
      <c r="CN66" s="118">
        <f t="shared" ref="CN66:CN84" si="80">AQ66</f>
        <v>299</v>
      </c>
      <c r="CO66" s="118">
        <f t="shared" ref="CO66:CO84" si="81">AU66</f>
        <v>328</v>
      </c>
      <c r="CP66" s="118">
        <f t="shared" ref="CP66:CP84" si="82">AY66</f>
        <v>341</v>
      </c>
      <c r="CQ66" s="57">
        <f t="shared" ref="CQ66:CQ84" si="83">M66-K66</f>
        <v>1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</row>
    <row r="67" spans="1:1026" x14ac:dyDescent="0.2">
      <c r="A67" s="3" t="str">
        <f t="shared" si="56"/>
        <v>adrb2_human_4LDE</v>
      </c>
      <c r="B67" s="3" t="s">
        <v>319</v>
      </c>
      <c r="C67" s="3" t="s">
        <v>267</v>
      </c>
      <c r="D67" s="3" t="str">
        <f>IFERROR(MID(VLOOKUP($B67,Seqs!$A:$B,2,0),E67,1),"")</f>
        <v>D</v>
      </c>
      <c r="E67" s="3">
        <v>29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57">
        <v>62</v>
      </c>
      <c r="J67" s="3" t="str">
        <f>IFERROR(MID(VLOOKUP($B67,Seqs!$A:$B,2,0),K67,1),"")</f>
        <v>Q</v>
      </c>
      <c r="K67" s="57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>P</v>
      </c>
      <c r="Y67" s="3">
        <v>138</v>
      </c>
      <c r="Z67" s="3" t="str">
        <f>IFERROR(MID(VLOOKUP($B67,Seqs!$A:$B,2,0),AA67,1),"")</f>
        <v>L</v>
      </c>
      <c r="AA67" s="3">
        <v>145</v>
      </c>
      <c r="AB67" s="3" t="str">
        <f>IFERROR(MID(VLOOKUP($B67,Seqs!$A:$B,2,0),AC67,1),"")</f>
        <v>K</v>
      </c>
      <c r="AC67" s="3">
        <v>147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A</v>
      </c>
      <c r="AK67" s="3">
        <v>198</v>
      </c>
      <c r="AL67" s="3" t="str">
        <f>IFERROR(MID(VLOOKUP($B67,Seqs!$A:$B,2,0),AM67,1),"")</f>
        <v>E</v>
      </c>
      <c r="AM67" s="3">
        <v>225</v>
      </c>
      <c r="AN67" s="3" t="str">
        <f>IFERROR(MID(VLOOKUP($B67,Seqs!$A:$B,2,0),AO67,1),"")</f>
        <v>L</v>
      </c>
      <c r="AO67" s="3">
        <v>266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BA67" s="124" t="str">
        <f>VLOOKUP(B67,Classification!A:D,2,0)</f>
        <v>A</v>
      </c>
      <c r="BC67" s="1"/>
      <c r="BD67" s="4"/>
      <c r="BE67" s="57">
        <f t="shared" si="57"/>
        <v>245</v>
      </c>
      <c r="BF67" s="63" t="b">
        <f t="shared" si="58"/>
        <v>1</v>
      </c>
      <c r="BG67" s="116" t="s">
        <v>1513</v>
      </c>
      <c r="BH67" s="102" t="s">
        <v>1513</v>
      </c>
      <c r="BI67" s="102" t="s">
        <v>1513</v>
      </c>
      <c r="BJ67" s="102" t="s">
        <v>1513</v>
      </c>
      <c r="BK67" s="102" t="s">
        <v>1513</v>
      </c>
      <c r="BL67" s="102" t="s">
        <v>1513</v>
      </c>
      <c r="BM67" s="102" t="s">
        <v>1513</v>
      </c>
      <c r="BN67" s="102" t="s">
        <v>1513</v>
      </c>
      <c r="BO67" s="102" t="s">
        <v>1513</v>
      </c>
      <c r="BP67" s="102" t="s">
        <v>1513</v>
      </c>
      <c r="BQ67" s="102" t="s">
        <v>1513</v>
      </c>
      <c r="BR67" s="102" t="s">
        <v>1513</v>
      </c>
      <c r="BS67" s="116">
        <f t="shared" si="59"/>
        <v>29</v>
      </c>
      <c r="BT67" s="117">
        <f t="shared" si="60"/>
        <v>62</v>
      </c>
      <c r="BU67" s="118">
        <f t="shared" si="61"/>
        <v>66</v>
      </c>
      <c r="BV67" s="117">
        <f t="shared" si="62"/>
        <v>98</v>
      </c>
      <c r="BW67" s="118">
        <f t="shared" si="63"/>
        <v>102</v>
      </c>
      <c r="BX67" s="117">
        <f t="shared" si="64"/>
        <v>138</v>
      </c>
      <c r="BY67" s="118">
        <f t="shared" si="65"/>
        <v>147</v>
      </c>
      <c r="BZ67" s="117">
        <f t="shared" si="66"/>
        <v>191</v>
      </c>
      <c r="CA67" s="118">
        <f t="shared" si="67"/>
        <v>198</v>
      </c>
      <c r="CB67" s="117">
        <f t="shared" si="68"/>
        <v>266</v>
      </c>
      <c r="CC67" s="118">
        <f t="shared" si="69"/>
        <v>304</v>
      </c>
      <c r="CD67" s="117">
        <f t="shared" si="70"/>
        <v>329</v>
      </c>
      <c r="CE67" s="116">
        <f t="shared" si="71"/>
        <v>61</v>
      </c>
      <c r="CF67" s="117">
        <f t="shared" si="72"/>
        <v>65</v>
      </c>
      <c r="CG67" s="118">
        <f t="shared" si="73"/>
        <v>96</v>
      </c>
      <c r="CH67" s="118">
        <f t="shared" si="74"/>
        <v>101</v>
      </c>
      <c r="CI67" s="118">
        <f t="shared" si="75"/>
        <v>137</v>
      </c>
      <c r="CJ67" s="118">
        <f t="shared" si="76"/>
        <v>145</v>
      </c>
      <c r="CK67" s="118">
        <f t="shared" si="77"/>
        <v>172</v>
      </c>
      <c r="CL67" s="118">
        <f t="shared" si="78"/>
        <v>193</v>
      </c>
      <c r="CM67" s="118">
        <f t="shared" si="79"/>
        <v>225</v>
      </c>
      <c r="CN67" s="118">
        <f t="shared" si="80"/>
        <v>299</v>
      </c>
      <c r="CO67" s="118">
        <f t="shared" si="81"/>
        <v>328</v>
      </c>
      <c r="CP67" s="118">
        <f t="shared" si="82"/>
        <v>341</v>
      </c>
      <c r="CQ67" s="57">
        <f t="shared" si="83"/>
        <v>1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</row>
    <row r="68" spans="1:1026" ht="17" customHeight="1" x14ac:dyDescent="0.2">
      <c r="A68" s="3" t="str">
        <f t="shared" si="56"/>
        <v>adrb2_human_4LDL</v>
      </c>
      <c r="B68" s="3" t="s">
        <v>319</v>
      </c>
      <c r="C68" s="3" t="s">
        <v>1250</v>
      </c>
      <c r="D68" s="3" t="str">
        <f>IFERROR(MID(VLOOKUP($B68,Seqs!$A:$B,2,0),E68,1),"")</f>
        <v>D</v>
      </c>
      <c r="E68" s="3">
        <v>29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57">
        <v>62</v>
      </c>
      <c r="J68" s="3" t="str">
        <f>IFERROR(MID(VLOOKUP($B68,Seqs!$A:$B,2,0),K68,1),"")</f>
        <v>Q</v>
      </c>
      <c r="K68" s="57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K</v>
      </c>
      <c r="AC68" s="3">
        <v>147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A</v>
      </c>
      <c r="AK68" s="3">
        <v>198</v>
      </c>
      <c r="AL68" s="3" t="str">
        <f>IFERROR(MID(VLOOKUP($B68,Seqs!$A:$B,2,0),AM68,1),"")</f>
        <v>E</v>
      </c>
      <c r="AM68" s="3">
        <v>225</v>
      </c>
      <c r="AN68" s="3" t="str">
        <f>IFERROR(MID(VLOOKUP($B68,Seqs!$A:$B,2,0),AO68,1),"")</f>
        <v>L</v>
      </c>
      <c r="AO68" s="3">
        <v>266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BA68" s="124" t="str">
        <f>VLOOKUP(B68,Classification!A:D,2,0)</f>
        <v>A</v>
      </c>
      <c r="BC68" s="1"/>
      <c r="BD68" s="4"/>
      <c r="BE68" s="57">
        <f t="shared" si="57"/>
        <v>245</v>
      </c>
      <c r="BF68" s="63" t="b">
        <f t="shared" si="58"/>
        <v>1</v>
      </c>
      <c r="BG68" s="116" t="s">
        <v>1513</v>
      </c>
      <c r="BH68" s="102" t="s">
        <v>1513</v>
      </c>
      <c r="BI68" s="102" t="s">
        <v>1513</v>
      </c>
      <c r="BJ68" s="102" t="s">
        <v>1513</v>
      </c>
      <c r="BK68" s="102" t="s">
        <v>1513</v>
      </c>
      <c r="BL68" s="102" t="s">
        <v>1513</v>
      </c>
      <c r="BM68" s="102" t="s">
        <v>1513</v>
      </c>
      <c r="BN68" s="102" t="s">
        <v>1513</v>
      </c>
      <c r="BO68" s="102" t="s">
        <v>1513</v>
      </c>
      <c r="BP68" s="102" t="s">
        <v>1513</v>
      </c>
      <c r="BQ68" s="102" t="s">
        <v>1513</v>
      </c>
      <c r="BR68" s="102" t="s">
        <v>1513</v>
      </c>
      <c r="BS68" s="116">
        <f t="shared" si="59"/>
        <v>29</v>
      </c>
      <c r="BT68" s="117">
        <f t="shared" si="60"/>
        <v>62</v>
      </c>
      <c r="BU68" s="118">
        <f t="shared" si="61"/>
        <v>66</v>
      </c>
      <c r="BV68" s="117">
        <f t="shared" si="62"/>
        <v>98</v>
      </c>
      <c r="BW68" s="118">
        <f t="shared" si="63"/>
        <v>102</v>
      </c>
      <c r="BX68" s="117">
        <f t="shared" si="64"/>
        <v>138</v>
      </c>
      <c r="BY68" s="118">
        <f t="shared" si="65"/>
        <v>147</v>
      </c>
      <c r="BZ68" s="117">
        <f t="shared" si="66"/>
        <v>191</v>
      </c>
      <c r="CA68" s="118">
        <f t="shared" si="67"/>
        <v>198</v>
      </c>
      <c r="CB68" s="117">
        <f t="shared" si="68"/>
        <v>266</v>
      </c>
      <c r="CC68" s="118">
        <f t="shared" si="69"/>
        <v>304</v>
      </c>
      <c r="CD68" s="117">
        <f t="shared" si="70"/>
        <v>329</v>
      </c>
      <c r="CE68" s="116">
        <f t="shared" si="71"/>
        <v>61</v>
      </c>
      <c r="CF68" s="117">
        <f t="shared" si="72"/>
        <v>65</v>
      </c>
      <c r="CG68" s="118">
        <f t="shared" si="73"/>
        <v>96</v>
      </c>
      <c r="CH68" s="118">
        <f t="shared" si="74"/>
        <v>101</v>
      </c>
      <c r="CI68" s="118">
        <f t="shared" si="75"/>
        <v>137</v>
      </c>
      <c r="CJ68" s="118">
        <f t="shared" si="76"/>
        <v>145</v>
      </c>
      <c r="CK68" s="118">
        <f t="shared" si="77"/>
        <v>172</v>
      </c>
      <c r="CL68" s="118">
        <f t="shared" si="78"/>
        <v>193</v>
      </c>
      <c r="CM68" s="118">
        <f t="shared" si="79"/>
        <v>225</v>
      </c>
      <c r="CN68" s="118">
        <f t="shared" si="80"/>
        <v>299</v>
      </c>
      <c r="CO68" s="118">
        <f t="shared" si="81"/>
        <v>328</v>
      </c>
      <c r="CP68" s="118">
        <f t="shared" si="82"/>
        <v>341</v>
      </c>
      <c r="CQ68" s="57">
        <f t="shared" si="83"/>
        <v>1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</row>
    <row r="69" spans="1:1026" x14ac:dyDescent="0.2">
      <c r="A69" s="3" t="str">
        <f t="shared" si="56"/>
        <v>adrb2_human_4LDO</v>
      </c>
      <c r="B69" s="3" t="s">
        <v>319</v>
      </c>
      <c r="C69" s="3" t="s">
        <v>1251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57">
        <v>62</v>
      </c>
      <c r="J69" s="3" t="str">
        <f>IFERROR(MID(VLOOKUP($B69,Seqs!$A:$B,2,0),K69,1),"")</f>
        <v>Q</v>
      </c>
      <c r="K69" s="57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>P</v>
      </c>
      <c r="Y69" s="3">
        <v>138</v>
      </c>
      <c r="Z69" s="3" t="str">
        <f>IFERROR(MID(VLOOKUP($B69,Seqs!$A:$B,2,0),AA69,1),"")</f>
        <v>L</v>
      </c>
      <c r="AA69" s="3">
        <v>145</v>
      </c>
      <c r="AB69" s="3" t="str">
        <f>IFERROR(MID(VLOOKUP($B69,Seqs!$A:$B,2,0),AC69,1),"")</f>
        <v>K</v>
      </c>
      <c r="AC69" s="3">
        <v>147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A</v>
      </c>
      <c r="AK69" s="3">
        <v>198</v>
      </c>
      <c r="AL69" s="3" t="str">
        <f>IFERROR(MID(VLOOKUP($B69,Seqs!$A:$B,2,0),AM69,1),"")</f>
        <v>E</v>
      </c>
      <c r="AM69" s="3">
        <v>225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BA69" s="124" t="str">
        <f>VLOOKUP(B69,Classification!A:D,2,0)</f>
        <v>A</v>
      </c>
      <c r="BC69" s="1"/>
      <c r="BD69" s="1"/>
      <c r="BE69" s="57">
        <f t="shared" si="57"/>
        <v>245</v>
      </c>
      <c r="BF69" s="63" t="b">
        <f t="shared" si="58"/>
        <v>1</v>
      </c>
      <c r="BG69" s="116" t="s">
        <v>1513</v>
      </c>
      <c r="BH69" s="102" t="s">
        <v>1513</v>
      </c>
      <c r="BI69" s="102" t="s">
        <v>1513</v>
      </c>
      <c r="BJ69" s="102" t="s">
        <v>1513</v>
      </c>
      <c r="BK69" s="102" t="s">
        <v>1513</v>
      </c>
      <c r="BL69" s="102" t="s">
        <v>1513</v>
      </c>
      <c r="BM69" s="102" t="s">
        <v>1513</v>
      </c>
      <c r="BN69" s="102" t="s">
        <v>1513</v>
      </c>
      <c r="BO69" s="102" t="s">
        <v>1513</v>
      </c>
      <c r="BP69" s="102" t="s">
        <v>1513</v>
      </c>
      <c r="BQ69" s="102" t="s">
        <v>1513</v>
      </c>
      <c r="BR69" s="102" t="s">
        <v>1513</v>
      </c>
      <c r="BS69" s="116">
        <f t="shared" si="59"/>
        <v>29</v>
      </c>
      <c r="BT69" s="117">
        <f t="shared" si="60"/>
        <v>62</v>
      </c>
      <c r="BU69" s="118">
        <f t="shared" si="61"/>
        <v>66</v>
      </c>
      <c r="BV69" s="117">
        <f t="shared" si="62"/>
        <v>98</v>
      </c>
      <c r="BW69" s="118">
        <f t="shared" si="63"/>
        <v>102</v>
      </c>
      <c r="BX69" s="117">
        <f t="shared" si="64"/>
        <v>138</v>
      </c>
      <c r="BY69" s="118">
        <f t="shared" si="65"/>
        <v>147</v>
      </c>
      <c r="BZ69" s="117">
        <f t="shared" si="66"/>
        <v>191</v>
      </c>
      <c r="CA69" s="118">
        <f t="shared" si="67"/>
        <v>198</v>
      </c>
      <c r="CB69" s="117">
        <f t="shared" si="68"/>
        <v>266</v>
      </c>
      <c r="CC69" s="118">
        <f t="shared" si="69"/>
        <v>304</v>
      </c>
      <c r="CD69" s="117">
        <f t="shared" si="70"/>
        <v>329</v>
      </c>
      <c r="CE69" s="116">
        <f t="shared" si="71"/>
        <v>61</v>
      </c>
      <c r="CF69" s="117">
        <f t="shared" si="72"/>
        <v>65</v>
      </c>
      <c r="CG69" s="118">
        <f t="shared" si="73"/>
        <v>96</v>
      </c>
      <c r="CH69" s="118">
        <f t="shared" si="74"/>
        <v>101</v>
      </c>
      <c r="CI69" s="118">
        <f t="shared" si="75"/>
        <v>137</v>
      </c>
      <c r="CJ69" s="118">
        <f t="shared" si="76"/>
        <v>145</v>
      </c>
      <c r="CK69" s="118">
        <f t="shared" si="77"/>
        <v>172</v>
      </c>
      <c r="CL69" s="118">
        <f t="shared" si="78"/>
        <v>193</v>
      </c>
      <c r="CM69" s="118">
        <f t="shared" si="79"/>
        <v>225</v>
      </c>
      <c r="CN69" s="118">
        <f t="shared" si="80"/>
        <v>299</v>
      </c>
      <c r="CO69" s="118">
        <f t="shared" si="81"/>
        <v>328</v>
      </c>
      <c r="CP69" s="118">
        <f t="shared" si="82"/>
        <v>341</v>
      </c>
      <c r="CQ69" s="57">
        <f t="shared" si="83"/>
        <v>1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</row>
    <row r="70" spans="1:1026" x14ac:dyDescent="0.2">
      <c r="A70" s="3" t="str">
        <f t="shared" si="56"/>
        <v>adrb2_human_4QKX</v>
      </c>
      <c r="B70" s="3" t="s">
        <v>319</v>
      </c>
      <c r="C70" s="3" t="s">
        <v>268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57">
        <v>62</v>
      </c>
      <c r="J70" s="3" t="str">
        <f>IFERROR(MID(VLOOKUP($B70,Seqs!$A:$B,2,0),K70,1),"")</f>
        <v>Q</v>
      </c>
      <c r="K70" s="57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K</v>
      </c>
      <c r="AC70" s="3">
        <v>147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A</v>
      </c>
      <c r="AK70" s="3">
        <v>198</v>
      </c>
      <c r="AL70" s="3" t="str">
        <f>IFERROR(MID(VLOOKUP($B70,Seqs!$A:$B,2,0),AM70,1),"")</f>
        <v>E</v>
      </c>
      <c r="AM70" s="3">
        <v>225</v>
      </c>
      <c r="AN70" s="3" t="str">
        <f>IFERROR(MID(VLOOKUP($B70,Seqs!$A:$B,2,0),AO70,1),"")</f>
        <v>L</v>
      </c>
      <c r="AO70" s="3">
        <v>266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BA70" s="124" t="str">
        <f>VLOOKUP(B70,Classification!A:D,2,0)</f>
        <v>A</v>
      </c>
      <c r="BC70" s="1"/>
      <c r="BD70" s="1"/>
      <c r="BE70" s="57">
        <f t="shared" si="57"/>
        <v>245</v>
      </c>
      <c r="BF70" s="63" t="b">
        <f t="shared" si="58"/>
        <v>1</v>
      </c>
      <c r="BG70" s="116" t="s">
        <v>1513</v>
      </c>
      <c r="BH70" s="102" t="s">
        <v>1513</v>
      </c>
      <c r="BI70" s="102" t="s">
        <v>1513</v>
      </c>
      <c r="BJ70" s="102" t="s">
        <v>1513</v>
      </c>
      <c r="BK70" s="102" t="s">
        <v>1513</v>
      </c>
      <c r="BL70" s="102" t="s">
        <v>1513</v>
      </c>
      <c r="BM70" s="102" t="s">
        <v>1513</v>
      </c>
      <c r="BN70" s="102" t="s">
        <v>1513</v>
      </c>
      <c r="BO70" s="102" t="s">
        <v>1513</v>
      </c>
      <c r="BP70" s="102" t="s">
        <v>1513</v>
      </c>
      <c r="BQ70" s="102" t="s">
        <v>1513</v>
      </c>
      <c r="BR70" s="102" t="s">
        <v>1513</v>
      </c>
      <c r="BS70" s="116">
        <f t="shared" si="59"/>
        <v>29</v>
      </c>
      <c r="BT70" s="117">
        <f t="shared" si="60"/>
        <v>62</v>
      </c>
      <c r="BU70" s="118">
        <f t="shared" si="61"/>
        <v>66</v>
      </c>
      <c r="BV70" s="117">
        <f t="shared" si="62"/>
        <v>98</v>
      </c>
      <c r="BW70" s="118">
        <f t="shared" si="63"/>
        <v>102</v>
      </c>
      <c r="BX70" s="117">
        <f t="shared" si="64"/>
        <v>138</v>
      </c>
      <c r="BY70" s="118">
        <f t="shared" si="65"/>
        <v>147</v>
      </c>
      <c r="BZ70" s="117">
        <f t="shared" si="66"/>
        <v>191</v>
      </c>
      <c r="CA70" s="118">
        <f t="shared" si="67"/>
        <v>198</v>
      </c>
      <c r="CB70" s="117">
        <f t="shared" si="68"/>
        <v>266</v>
      </c>
      <c r="CC70" s="118">
        <f t="shared" si="69"/>
        <v>304</v>
      </c>
      <c r="CD70" s="117">
        <f t="shared" si="70"/>
        <v>329</v>
      </c>
      <c r="CE70" s="116">
        <f t="shared" si="71"/>
        <v>61</v>
      </c>
      <c r="CF70" s="117">
        <f t="shared" si="72"/>
        <v>65</v>
      </c>
      <c r="CG70" s="118">
        <f t="shared" si="73"/>
        <v>96</v>
      </c>
      <c r="CH70" s="118">
        <f t="shared" si="74"/>
        <v>101</v>
      </c>
      <c r="CI70" s="118">
        <f t="shared" si="75"/>
        <v>137</v>
      </c>
      <c r="CJ70" s="118">
        <f t="shared" si="76"/>
        <v>145</v>
      </c>
      <c r="CK70" s="118">
        <f t="shared" si="77"/>
        <v>172</v>
      </c>
      <c r="CL70" s="118">
        <f t="shared" si="78"/>
        <v>193</v>
      </c>
      <c r="CM70" s="118">
        <f t="shared" si="79"/>
        <v>225</v>
      </c>
      <c r="CN70" s="118">
        <f t="shared" si="80"/>
        <v>299</v>
      </c>
      <c r="CO70" s="118">
        <f t="shared" si="81"/>
        <v>328</v>
      </c>
      <c r="CP70" s="118">
        <f t="shared" si="82"/>
        <v>341</v>
      </c>
      <c r="CQ70" s="57">
        <f t="shared" si="83"/>
        <v>1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</row>
    <row r="71" spans="1:1026" x14ac:dyDescent="0.2">
      <c r="A71" s="3" t="str">
        <f t="shared" si="56"/>
        <v>agtr1_human__wt</v>
      </c>
      <c r="B71" s="3" t="s">
        <v>351</v>
      </c>
      <c r="C71" s="3" t="s">
        <v>293</v>
      </c>
      <c r="D71" s="3" t="str">
        <f>IFERROR(MID(VLOOKUP($B71,Seqs!$A:$B,2,0),E71,1),"")</f>
        <v>Y</v>
      </c>
      <c r="E71" s="3">
        <v>26</v>
      </c>
      <c r="F71" s="3" t="str">
        <f>IFERROR(MID(VLOOKUP($B71,Seqs!$A:$B,2,0),G71,1),"")</f>
        <v>Y</v>
      </c>
      <c r="G71" s="3">
        <v>56</v>
      </c>
      <c r="H71" s="3" t="str">
        <f>IFERROR(MID(VLOOKUP($B71,Seqs!$A:$B,2,0),I71,1),"")</f>
        <v>M</v>
      </c>
      <c r="I71" s="57">
        <v>57</v>
      </c>
      <c r="J71" s="3" t="str">
        <f>IFERROR(MID(VLOOKUP($B71,Seqs!$A:$B,2,0),K71,1),"")</f>
        <v>K</v>
      </c>
      <c r="K71" s="57">
        <v>60</v>
      </c>
      <c r="L71" s="3" t="str">
        <f>IFERROR(MID(VLOOKUP($B71,Seqs!$A:$B,2,0),M71,1),"")</f>
        <v>T</v>
      </c>
      <c r="M71" s="3">
        <v>61</v>
      </c>
      <c r="N71" s="3" t="str">
        <f>IFERROR(MID(VLOOKUP($B71,Seqs!$A:$B,2,0),O71,1),"")</f>
        <v>M</v>
      </c>
      <c r="O71" s="3">
        <v>90</v>
      </c>
      <c r="P71" s="3" t="str">
        <f>IFERROR(MID(VLOOKUP($B71,Seqs!$A:$B,2,0),Q71,1),"")</f>
        <v>R</v>
      </c>
      <c r="Q71" s="3">
        <v>93</v>
      </c>
      <c r="R71" s="3" t="str">
        <f>IFERROR(MID(VLOOKUP($B71,Seqs!$A:$B,2,0),S71,1),"")</f>
        <v>F</v>
      </c>
      <c r="S71" s="3">
        <v>96</v>
      </c>
      <c r="T71" s="3" t="str">
        <f>IFERROR(MID(VLOOKUP($B71,Seqs!$A:$B,2,0),U71,1),"")</f>
        <v>G</v>
      </c>
      <c r="U71" s="3">
        <v>97</v>
      </c>
      <c r="V71" s="3" t="str">
        <f>IFERROR(MID(VLOOKUP($B71,Seqs!$A:$B,2,0),W71,1),"")</f>
        <v>H</v>
      </c>
      <c r="W71" s="3">
        <v>132</v>
      </c>
      <c r="X71" s="3" t="str">
        <f>IFERROR(MID(VLOOKUP($B71,Seqs!$A:$B,2,0),Y71,1),"")</f>
        <v>P</v>
      </c>
      <c r="Y71" s="3">
        <v>133</v>
      </c>
      <c r="Z71" s="3" t="str">
        <f>IFERROR(MID(VLOOKUP($B71,Seqs!$A:$B,2,0),AA71,1),"")</f>
        <v>R</v>
      </c>
      <c r="AA71" s="3">
        <v>140</v>
      </c>
      <c r="AB71" s="3" t="str">
        <f>IFERROR(MID(VLOOKUP($B71,Seqs!$A:$B,2,0),AC71,1),"")</f>
        <v>M</v>
      </c>
      <c r="AC71" s="3">
        <v>142</v>
      </c>
      <c r="AD71" s="3" t="str">
        <f>IFERROR(MID(VLOOKUP($B71,Seqs!$A:$B,2,0),AE71,1),"")</f>
        <v>R</v>
      </c>
      <c r="AE71" s="3">
        <v>167</v>
      </c>
      <c r="AF71" s="3" t="str">
        <f>IFERROR(MID(VLOOKUP($B71,Seqs!$A:$B,2,0),AG71,1),"")</f>
        <v>C</v>
      </c>
      <c r="AG71" s="3">
        <v>180</v>
      </c>
      <c r="AH71" s="3" t="str">
        <f>IFERROR(MID(VLOOKUP($B71,Seqs!$A:$B,2,0),AI71,1),"")</f>
        <v>F</v>
      </c>
      <c r="AI71" s="3">
        <v>182</v>
      </c>
      <c r="AJ71" s="3" t="str">
        <f>IFERROR(MID(VLOOKUP($B71,Seqs!$A:$B,2,0),AK71,1),"")</f>
        <v>L</v>
      </c>
      <c r="AK71" s="3">
        <v>191</v>
      </c>
      <c r="AL71" s="3" t="str">
        <f>IFERROR(MID(VLOOKUP($B71,Seqs!$A:$B,2,0),AM71,1),"")</f>
        <v>A</v>
      </c>
      <c r="AM71" s="3">
        <v>225</v>
      </c>
      <c r="AN71" s="3" t="str">
        <f>IFERROR(MID(VLOOKUP($B71,Seqs!$A:$B,2,0),AO71,1),"")</f>
        <v>P</v>
      </c>
      <c r="AO71" s="3">
        <v>233</v>
      </c>
      <c r="AP71" s="3" t="str">
        <f>IFERROR(MID(VLOOKUP($B71,Seqs!$A:$B,2,0),AQ71,1),"")</f>
        <v>G</v>
      </c>
      <c r="AQ71" s="3">
        <v>269</v>
      </c>
      <c r="AR71" s="3" t="str">
        <f>IFERROR(MID(VLOOKUP($B71,Seqs!$A:$B,2,0),AS71,1),"")</f>
        <v>D</v>
      </c>
      <c r="AS71" s="3">
        <v>273</v>
      </c>
      <c r="AT71" s="3" t="str">
        <f>IFERROR(MID(VLOOKUP($B71,Seqs!$A:$B,2,0),AU71,1),"")</f>
        <v>L</v>
      </c>
      <c r="AU71" s="3">
        <v>305</v>
      </c>
      <c r="AV71" s="3" t="str">
        <f>IFERROR(MID(VLOOKUP($B71,Seqs!$A:$B,2,0),AW71,1),"")</f>
        <v>G</v>
      </c>
      <c r="AW71" s="3">
        <v>306</v>
      </c>
      <c r="AX71" s="3" t="str">
        <f>IFERROR(MID(VLOOKUP($B71,Seqs!$A:$B,2,0),AY71,1),"")</f>
        <v>I</v>
      </c>
      <c r="AY71" s="3">
        <v>320</v>
      </c>
      <c r="BA71" s="124" t="str">
        <f>VLOOKUP(B71,Classification!A:D,2,0)</f>
        <v>A</v>
      </c>
      <c r="BC71" s="1"/>
      <c r="BD71" s="72">
        <f>S71-Q71+1</f>
        <v>4</v>
      </c>
      <c r="BE71" s="57">
        <f t="shared" si="57"/>
        <v>262</v>
      </c>
      <c r="BF71" s="63" t="b">
        <f t="shared" si="58"/>
        <v>1</v>
      </c>
      <c r="BG71" s="116" t="s">
        <v>1513</v>
      </c>
      <c r="BH71" s="102" t="s">
        <v>1513</v>
      </c>
      <c r="BI71" s="102" t="s">
        <v>1513</v>
      </c>
      <c r="BJ71" s="102" t="s">
        <v>1513</v>
      </c>
      <c r="BK71" s="102" t="s">
        <v>1513</v>
      </c>
      <c r="BL71" s="102" t="s">
        <v>1513</v>
      </c>
      <c r="BM71" s="102" t="s">
        <v>1513</v>
      </c>
      <c r="BN71" s="102" t="s">
        <v>1513</v>
      </c>
      <c r="BO71" s="102" t="s">
        <v>1513</v>
      </c>
      <c r="BP71" s="102" t="s">
        <v>1513</v>
      </c>
      <c r="BQ71" s="102" t="s">
        <v>1513</v>
      </c>
      <c r="BR71" s="102" t="s">
        <v>1513</v>
      </c>
      <c r="BS71" s="116">
        <f t="shared" si="59"/>
        <v>26</v>
      </c>
      <c r="BT71" s="117">
        <f t="shared" si="60"/>
        <v>57</v>
      </c>
      <c r="BU71" s="118">
        <f t="shared" si="61"/>
        <v>61</v>
      </c>
      <c r="BV71" s="117">
        <f t="shared" si="62"/>
        <v>93</v>
      </c>
      <c r="BW71" s="118">
        <f t="shared" si="63"/>
        <v>97</v>
      </c>
      <c r="BX71" s="117">
        <f t="shared" si="64"/>
        <v>133</v>
      </c>
      <c r="BY71" s="118">
        <f t="shared" si="65"/>
        <v>142</v>
      </c>
      <c r="BZ71" s="117">
        <f t="shared" si="66"/>
        <v>180</v>
      </c>
      <c r="CA71" s="118">
        <f t="shared" si="67"/>
        <v>191</v>
      </c>
      <c r="CB71" s="117">
        <f t="shared" si="68"/>
        <v>233</v>
      </c>
      <c r="CC71" s="118">
        <f t="shared" si="69"/>
        <v>273</v>
      </c>
      <c r="CD71" s="117">
        <f t="shared" si="70"/>
        <v>306</v>
      </c>
      <c r="CE71" s="116">
        <f t="shared" si="71"/>
        <v>56</v>
      </c>
      <c r="CF71" s="117">
        <f t="shared" si="72"/>
        <v>60</v>
      </c>
      <c r="CG71" s="118">
        <f t="shared" si="73"/>
        <v>90</v>
      </c>
      <c r="CH71" s="118">
        <f t="shared" si="74"/>
        <v>96</v>
      </c>
      <c r="CI71" s="118">
        <f t="shared" si="75"/>
        <v>132</v>
      </c>
      <c r="CJ71" s="118">
        <f t="shared" si="76"/>
        <v>140</v>
      </c>
      <c r="CK71" s="118">
        <f t="shared" si="77"/>
        <v>167</v>
      </c>
      <c r="CL71" s="118">
        <f t="shared" si="78"/>
        <v>182</v>
      </c>
      <c r="CM71" s="118">
        <f t="shared" si="79"/>
        <v>225</v>
      </c>
      <c r="CN71" s="118">
        <f t="shared" si="80"/>
        <v>269</v>
      </c>
      <c r="CO71" s="118">
        <f t="shared" si="81"/>
        <v>305</v>
      </c>
      <c r="CP71" s="118">
        <f t="shared" si="82"/>
        <v>320</v>
      </c>
      <c r="CQ71" s="57">
        <f t="shared" si="83"/>
        <v>1</v>
      </c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</row>
    <row r="72" spans="1:1026" x14ac:dyDescent="0.2">
      <c r="A72" s="3" t="str">
        <f t="shared" si="56"/>
        <v>agtr1_human_4YAY</v>
      </c>
      <c r="B72" s="3" t="s">
        <v>351</v>
      </c>
      <c r="C72" s="3" t="s">
        <v>259</v>
      </c>
      <c r="D72" s="3" t="str">
        <f>IFERROR(MID(VLOOKUP($B72,Seqs!$A:$B,2,0),E72,1),"")</f>
        <v>Y</v>
      </c>
      <c r="E72" s="3">
        <v>26</v>
      </c>
      <c r="F72" s="3" t="str">
        <f>IFERROR(MID(VLOOKUP($B72,Seqs!$A:$B,2,0),G72,1),"")</f>
        <v>Y</v>
      </c>
      <c r="G72" s="3">
        <v>56</v>
      </c>
      <c r="H72" s="3" t="str">
        <f>IFERROR(MID(VLOOKUP($B72,Seqs!$A:$B,2,0),I72,1),"")</f>
        <v>M</v>
      </c>
      <c r="I72" s="57">
        <v>57</v>
      </c>
      <c r="J72" s="3" t="str">
        <f>IFERROR(MID(VLOOKUP($B72,Seqs!$A:$B,2,0),K72,1),"")</f>
        <v>K</v>
      </c>
      <c r="K72" s="57">
        <v>60</v>
      </c>
      <c r="L72" s="3" t="str">
        <f>IFERROR(MID(VLOOKUP($B72,Seqs!$A:$B,2,0),M72,1),"")</f>
        <v>T</v>
      </c>
      <c r="M72" s="3">
        <v>61</v>
      </c>
      <c r="N72" s="3" t="str">
        <f>IFERROR(MID(VLOOKUP($B72,Seqs!$A:$B,2,0),O72,1),"")</f>
        <v>M</v>
      </c>
      <c r="O72" s="3">
        <v>90</v>
      </c>
      <c r="P72" s="3" t="str">
        <f>IFERROR(MID(VLOOKUP($B72,Seqs!$A:$B,2,0),Q72,1),"")</f>
        <v>R</v>
      </c>
      <c r="Q72" s="3">
        <v>93</v>
      </c>
      <c r="R72" s="3" t="str">
        <f>IFERROR(MID(VLOOKUP($B72,Seqs!$A:$B,2,0),S72,1),"")</f>
        <v>F</v>
      </c>
      <c r="S72" s="3">
        <v>96</v>
      </c>
      <c r="T72" s="3" t="str">
        <f>IFERROR(MID(VLOOKUP($B72,Seqs!$A:$B,2,0),U72,1),"")</f>
        <v>G</v>
      </c>
      <c r="U72" s="3">
        <v>97</v>
      </c>
      <c r="V72" s="3" t="str">
        <f>IFERROR(MID(VLOOKUP($B72,Seqs!$A:$B,2,0),W72,1),"")</f>
        <v>H</v>
      </c>
      <c r="W72" s="3">
        <v>132</v>
      </c>
      <c r="X72" s="3" t="str">
        <f>IFERROR(MID(VLOOKUP($B72,Seqs!$A:$B,2,0),Y72,1),"")</f>
        <v/>
      </c>
      <c r="Y72" s="3" t="s">
        <v>129</v>
      </c>
      <c r="Z72" s="3" t="str">
        <f>IFERROR(MID(VLOOKUP($B72,Seqs!$A:$B,2,0),AA72,1),"")</f>
        <v/>
      </c>
      <c r="AA72" s="3" t="s">
        <v>129</v>
      </c>
      <c r="AB72" s="3" t="str">
        <f>IFERROR(MID(VLOOKUP($B72,Seqs!$A:$B,2,0),AC72,1),"")</f>
        <v>L</v>
      </c>
      <c r="AC72" s="3">
        <v>138</v>
      </c>
      <c r="AD72" s="3" t="str">
        <f>IFERROR(MID(VLOOKUP($B72,Seqs!$A:$B,2,0),AE72,1),"")</f>
        <v>R</v>
      </c>
      <c r="AE72" s="3">
        <v>167</v>
      </c>
      <c r="AF72" s="3" t="str">
        <f>IFERROR(MID(VLOOKUP($B72,Seqs!$A:$B,2,0),AG72,1),"")</f>
        <v>C</v>
      </c>
      <c r="AG72" s="3">
        <v>180</v>
      </c>
      <c r="AH72" s="3" t="str">
        <f>IFERROR(MID(VLOOKUP($B72,Seqs!$A:$B,2,0),AI72,1),"")</f>
        <v>F</v>
      </c>
      <c r="AI72" s="3">
        <v>182</v>
      </c>
      <c r="AJ72" s="3" t="str">
        <f>IFERROR(MID(VLOOKUP($B72,Seqs!$A:$B,2,0),AK72,1),"")</f>
        <v>L</v>
      </c>
      <c r="AK72" s="3">
        <v>191</v>
      </c>
      <c r="AL72" s="3" t="str">
        <f>IFERROR(MID(VLOOKUP($B72,Seqs!$A:$B,2,0),AM72,1),"")</f>
        <v>L</v>
      </c>
      <c r="AM72" s="3">
        <v>222</v>
      </c>
      <c r="AN72" s="3" t="str">
        <f>IFERROR(MID(VLOOKUP($B72,Seqs!$A:$B,2,0),AO72,1),"")</f>
        <v>N</v>
      </c>
      <c r="AO72" s="3">
        <v>235</v>
      </c>
      <c r="AP72" s="3" t="str">
        <f>IFERROR(MID(VLOOKUP($B72,Seqs!$A:$B,2,0),AQ72,1),"")</f>
        <v>G</v>
      </c>
      <c r="AQ72" s="3">
        <v>269</v>
      </c>
      <c r="AR72" s="3" t="str">
        <f>IFERROR(MID(VLOOKUP($B72,Seqs!$A:$B,2,0),AS72,1),"")</f>
        <v>D</v>
      </c>
      <c r="AS72" s="3">
        <v>273</v>
      </c>
      <c r="AT72" s="3" t="str">
        <f>IFERROR(MID(VLOOKUP($B72,Seqs!$A:$B,2,0),AU72,1),"")</f>
        <v>N</v>
      </c>
      <c r="AU72" s="3">
        <v>298</v>
      </c>
      <c r="AV72" s="3" t="str">
        <f>IFERROR(MID(VLOOKUP($B72,Seqs!$A:$B,2,0),AW72,1),"")</f>
        <v/>
      </c>
      <c r="AW72" s="3" t="s">
        <v>129</v>
      </c>
      <c r="AX72" s="3" t="str">
        <f>IFERROR(MID(VLOOKUP($B72,Seqs!$A:$B,2,0),AY72,1),"")</f>
        <v/>
      </c>
      <c r="AY72" s="3" t="s">
        <v>129</v>
      </c>
      <c r="BA72" s="124" t="str">
        <f>VLOOKUP(B72,Classification!A:D,2,0)</f>
        <v>A</v>
      </c>
      <c r="BC72" s="1"/>
      <c r="BD72" s="1"/>
      <c r="BE72" s="57">
        <f t="shared" si="57"/>
        <v>233</v>
      </c>
      <c r="BF72" s="63" t="b">
        <f t="shared" si="58"/>
        <v>1</v>
      </c>
      <c r="BG72" s="116" t="s">
        <v>1513</v>
      </c>
      <c r="BH72" s="102" t="s">
        <v>1513</v>
      </c>
      <c r="BI72" s="102" t="s">
        <v>1513</v>
      </c>
      <c r="BJ72" s="102" t="s">
        <v>1513</v>
      </c>
      <c r="BK72" s="102" t="s">
        <v>1513</v>
      </c>
      <c r="BL72" s="102" t="s">
        <v>1513</v>
      </c>
      <c r="BM72" s="102" t="s">
        <v>1513</v>
      </c>
      <c r="BN72" s="102" t="s">
        <v>1513</v>
      </c>
      <c r="BO72" s="102" t="s">
        <v>1513</v>
      </c>
      <c r="BP72" s="102" t="s">
        <v>1513</v>
      </c>
      <c r="BQ72" s="102" t="s">
        <v>1513</v>
      </c>
      <c r="BR72" s="102" t="s">
        <v>1513</v>
      </c>
      <c r="BS72" s="116">
        <f t="shared" si="59"/>
        <v>26</v>
      </c>
      <c r="BT72" s="117">
        <f t="shared" si="60"/>
        <v>57</v>
      </c>
      <c r="BU72" s="118">
        <f t="shared" si="61"/>
        <v>61</v>
      </c>
      <c r="BV72" s="117">
        <f t="shared" si="62"/>
        <v>93</v>
      </c>
      <c r="BW72" s="118">
        <f t="shared" si="63"/>
        <v>97</v>
      </c>
      <c r="BX72" s="117" t="str">
        <f t="shared" si="64"/>
        <v>-</v>
      </c>
      <c r="BY72" s="118">
        <f t="shared" si="65"/>
        <v>138</v>
      </c>
      <c r="BZ72" s="117">
        <f t="shared" si="66"/>
        <v>180</v>
      </c>
      <c r="CA72" s="118">
        <f t="shared" si="67"/>
        <v>191</v>
      </c>
      <c r="CB72" s="117">
        <f t="shared" si="68"/>
        <v>235</v>
      </c>
      <c r="CC72" s="118">
        <f t="shared" si="69"/>
        <v>273</v>
      </c>
      <c r="CD72" s="117" t="str">
        <f t="shared" si="70"/>
        <v>-</v>
      </c>
      <c r="CE72" s="116">
        <f t="shared" si="71"/>
        <v>56</v>
      </c>
      <c r="CF72" s="117">
        <f t="shared" si="72"/>
        <v>60</v>
      </c>
      <c r="CG72" s="118">
        <f t="shared" si="73"/>
        <v>90</v>
      </c>
      <c r="CH72" s="118">
        <f t="shared" si="74"/>
        <v>96</v>
      </c>
      <c r="CI72" s="118">
        <f t="shared" si="75"/>
        <v>132</v>
      </c>
      <c r="CJ72" s="118" t="str">
        <f t="shared" si="76"/>
        <v>-</v>
      </c>
      <c r="CK72" s="118">
        <f t="shared" si="77"/>
        <v>167</v>
      </c>
      <c r="CL72" s="118">
        <f t="shared" si="78"/>
        <v>182</v>
      </c>
      <c r="CM72" s="118">
        <f t="shared" si="79"/>
        <v>222</v>
      </c>
      <c r="CN72" s="118">
        <f t="shared" si="80"/>
        <v>269</v>
      </c>
      <c r="CO72" s="118">
        <f t="shared" si="81"/>
        <v>298</v>
      </c>
      <c r="CP72" s="118" t="str">
        <f t="shared" si="82"/>
        <v>-</v>
      </c>
      <c r="CQ72" s="57">
        <f t="shared" si="83"/>
        <v>1</v>
      </c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</row>
    <row r="73" spans="1:1026" x14ac:dyDescent="0.2">
      <c r="A73" s="3" t="str">
        <f t="shared" si="56"/>
        <v>agtr1_human_4YAY_dist</v>
      </c>
      <c r="B73" s="3" t="s">
        <v>351</v>
      </c>
      <c r="C73" s="3" t="s">
        <v>1378</v>
      </c>
      <c r="D73" s="3" t="str">
        <f>IFERROR(MID(VLOOKUP($B73,Seqs!$A:$B,2,0),E73,1),"")</f>
        <v>Y</v>
      </c>
      <c r="E73" s="3">
        <v>26</v>
      </c>
      <c r="F73" s="3" t="str">
        <f>IFERROR(MID(VLOOKUP($B73,Seqs!$A:$B,2,0),G73,1),"")</f>
        <v>Y</v>
      </c>
      <c r="G73" s="3">
        <v>56</v>
      </c>
      <c r="H73" s="3" t="str">
        <f>IFERROR(MID(VLOOKUP($B73,Seqs!$A:$B,2,0),I73,1),"")</f>
        <v>M</v>
      </c>
      <c r="I73" s="57">
        <v>57</v>
      </c>
      <c r="J73" s="3" t="str">
        <f>IFERROR(MID(VLOOKUP($B73,Seqs!$A:$B,2,0),K73,1),"")</f>
        <v>K</v>
      </c>
      <c r="K73" s="57">
        <v>60</v>
      </c>
      <c r="L73" s="3" t="str">
        <f>IFERROR(MID(VLOOKUP($B73,Seqs!$A:$B,2,0),M73,1),"")</f>
        <v>T</v>
      </c>
      <c r="M73" s="3">
        <v>61</v>
      </c>
      <c r="N73" s="3" t="str">
        <f>IFERROR(MID(VLOOKUP($B73,Seqs!$A:$B,2,0),O73,1),"")</f>
        <v>M</v>
      </c>
      <c r="O73" s="3">
        <v>90</v>
      </c>
      <c r="P73" s="3" t="str">
        <f>IFERROR(MID(VLOOKUP($B73,Seqs!$A:$B,2,0),Q73,1),"")</f>
        <v>R</v>
      </c>
      <c r="Q73" s="3">
        <v>93</v>
      </c>
      <c r="R73" s="3" t="str">
        <f>IFERROR(MID(VLOOKUP($B73,Seqs!$A:$B,2,0),S73,1),"")</f>
        <v>F</v>
      </c>
      <c r="S73" s="3">
        <v>96</v>
      </c>
      <c r="T73" s="3" t="str">
        <f>IFERROR(MID(VLOOKUP($B73,Seqs!$A:$B,2,0),U73,1),"")</f>
        <v>G</v>
      </c>
      <c r="U73" s="3">
        <v>97</v>
      </c>
      <c r="V73" s="3" t="str">
        <f>IFERROR(MID(VLOOKUP($B73,Seqs!$A:$B,2,0),W73,1),"")</f>
        <v>H</v>
      </c>
      <c r="W73" s="3">
        <v>132</v>
      </c>
      <c r="X73" s="3" t="str">
        <f>IFERROR(MID(VLOOKUP($B73,Seqs!$A:$B,2,0),Y73,1),"")</f>
        <v/>
      </c>
      <c r="Y73" s="3" t="s">
        <v>129</v>
      </c>
      <c r="Z73" s="3" t="str">
        <f>IFERROR(MID(VLOOKUP($B73,Seqs!$A:$B,2,0),AA73,1),"")</f>
        <v/>
      </c>
      <c r="AA73" s="3" t="s">
        <v>129</v>
      </c>
      <c r="AB73" s="3" t="str">
        <f>IFERROR(MID(VLOOKUP($B73,Seqs!$A:$B,2,0),AC73,1),"")</f>
        <v>L</v>
      </c>
      <c r="AC73" s="3">
        <v>138</v>
      </c>
      <c r="AD73" s="3" t="str">
        <f>IFERROR(MID(VLOOKUP($B73,Seqs!$A:$B,2,0),AE73,1),"")</f>
        <v>R</v>
      </c>
      <c r="AE73" s="3">
        <v>167</v>
      </c>
      <c r="AF73" s="3" t="str">
        <f>IFERROR(MID(VLOOKUP($B73,Seqs!$A:$B,2,0),AG73,1),"")</f>
        <v>C</v>
      </c>
      <c r="AG73" s="3">
        <v>180</v>
      </c>
      <c r="AH73" s="3" t="str">
        <f>IFERROR(MID(VLOOKUP($B73,Seqs!$A:$B,2,0),AI73,1),"")</f>
        <v>F</v>
      </c>
      <c r="AI73" s="3">
        <v>182</v>
      </c>
      <c r="AJ73" s="3" t="str">
        <f>IFERROR(MID(VLOOKUP($B73,Seqs!$A:$B,2,0),AK73,1),"")</f>
        <v>L</v>
      </c>
      <c r="AK73" s="3">
        <v>191</v>
      </c>
      <c r="AL73" s="3" t="str">
        <f>IFERROR(MID(VLOOKUP($B73,Seqs!$A:$B,2,0),AM73,1),"")</f>
        <v>L</v>
      </c>
      <c r="AM73" s="3">
        <v>222</v>
      </c>
      <c r="AN73" s="3" t="str">
        <f>IFERROR(MID(VLOOKUP($B73,Seqs!$A:$B,2,0),AO73,1),"")</f>
        <v>N</v>
      </c>
      <c r="AO73" s="3">
        <v>235</v>
      </c>
      <c r="AP73" s="3" t="str">
        <f>IFERROR(MID(VLOOKUP($B73,Seqs!$A:$B,2,0),AQ73,1),"")</f>
        <v>G</v>
      </c>
      <c r="AQ73" s="3">
        <v>269</v>
      </c>
      <c r="AR73" s="3" t="str">
        <f>IFERROR(MID(VLOOKUP($B73,Seqs!$A:$B,2,0),AS73,1),"")</f>
        <v>D</v>
      </c>
      <c r="AS73" s="3">
        <v>273</v>
      </c>
      <c r="AT73" s="3" t="str">
        <f>IFERROR(MID(VLOOKUP($B73,Seqs!$A:$B,2,0),AU73,1),"")</f>
        <v>F</v>
      </c>
      <c r="AU73" s="3">
        <v>304</v>
      </c>
      <c r="AV73" s="3" t="str">
        <f>IFERROR(MID(VLOOKUP($B73,Seqs!$A:$B,2,0),AW73,1),"")</f>
        <v>G</v>
      </c>
      <c r="AW73" s="3">
        <v>306</v>
      </c>
      <c r="AX73" s="3" t="str">
        <f>IFERROR(MID(VLOOKUP($B73,Seqs!$A:$B,2,0),AY73,1),"")</f>
        <v>L</v>
      </c>
      <c r="AY73" s="3">
        <v>317</v>
      </c>
      <c r="BA73" s="124" t="str">
        <f>VLOOKUP(B73,Classification!A:D,2,0)</f>
        <v>A</v>
      </c>
      <c r="BC73" s="1"/>
      <c r="BD73" s="4"/>
      <c r="BE73" s="57">
        <f t="shared" si="57"/>
        <v>250</v>
      </c>
      <c r="BF73" s="63" t="b">
        <f t="shared" si="58"/>
        <v>1</v>
      </c>
      <c r="BG73" s="116" t="s">
        <v>1513</v>
      </c>
      <c r="BH73" s="102" t="s">
        <v>1513</v>
      </c>
      <c r="BI73" s="102" t="s">
        <v>1513</v>
      </c>
      <c r="BJ73" s="102" t="s">
        <v>1513</v>
      </c>
      <c r="BK73" s="102" t="s">
        <v>1513</v>
      </c>
      <c r="BL73" s="102" t="s">
        <v>1513</v>
      </c>
      <c r="BM73" s="102" t="s">
        <v>1513</v>
      </c>
      <c r="BN73" s="102" t="s">
        <v>1513</v>
      </c>
      <c r="BO73" s="102" t="s">
        <v>1513</v>
      </c>
      <c r="BP73" s="102" t="s">
        <v>1513</v>
      </c>
      <c r="BQ73" s="102" t="s">
        <v>1513</v>
      </c>
      <c r="BR73" s="102" t="s">
        <v>1513</v>
      </c>
      <c r="BS73" s="116">
        <f t="shared" si="59"/>
        <v>26</v>
      </c>
      <c r="BT73" s="117">
        <f t="shared" si="60"/>
        <v>57</v>
      </c>
      <c r="BU73" s="118">
        <f t="shared" si="61"/>
        <v>61</v>
      </c>
      <c r="BV73" s="117">
        <f t="shared" si="62"/>
        <v>93</v>
      </c>
      <c r="BW73" s="118">
        <f t="shared" si="63"/>
        <v>97</v>
      </c>
      <c r="BX73" s="117" t="str">
        <f t="shared" si="64"/>
        <v>-</v>
      </c>
      <c r="BY73" s="118">
        <f t="shared" si="65"/>
        <v>138</v>
      </c>
      <c r="BZ73" s="117">
        <f t="shared" si="66"/>
        <v>180</v>
      </c>
      <c r="CA73" s="118">
        <f t="shared" si="67"/>
        <v>191</v>
      </c>
      <c r="CB73" s="117">
        <f t="shared" si="68"/>
        <v>235</v>
      </c>
      <c r="CC73" s="118">
        <f t="shared" si="69"/>
        <v>273</v>
      </c>
      <c r="CD73" s="117">
        <f t="shared" si="70"/>
        <v>306</v>
      </c>
      <c r="CE73" s="116">
        <f t="shared" si="71"/>
        <v>56</v>
      </c>
      <c r="CF73" s="117">
        <f t="shared" si="72"/>
        <v>60</v>
      </c>
      <c r="CG73" s="118">
        <f t="shared" si="73"/>
        <v>90</v>
      </c>
      <c r="CH73" s="118">
        <f t="shared" si="74"/>
        <v>96</v>
      </c>
      <c r="CI73" s="118">
        <f t="shared" si="75"/>
        <v>132</v>
      </c>
      <c r="CJ73" s="118" t="str">
        <f t="shared" si="76"/>
        <v>-</v>
      </c>
      <c r="CK73" s="118">
        <f t="shared" si="77"/>
        <v>167</v>
      </c>
      <c r="CL73" s="118">
        <f t="shared" si="78"/>
        <v>182</v>
      </c>
      <c r="CM73" s="118">
        <f t="shared" si="79"/>
        <v>222</v>
      </c>
      <c r="CN73" s="118">
        <f t="shared" si="80"/>
        <v>269</v>
      </c>
      <c r="CO73" s="118">
        <f t="shared" si="81"/>
        <v>304</v>
      </c>
      <c r="CP73" s="118">
        <f t="shared" si="82"/>
        <v>317</v>
      </c>
      <c r="CQ73" s="57">
        <f t="shared" si="83"/>
        <v>1</v>
      </c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</row>
    <row r="74" spans="1:1026" x14ac:dyDescent="0.2">
      <c r="A74" s="3" t="str">
        <f t="shared" si="56"/>
        <v>agtr1_human_4ZUD</v>
      </c>
      <c r="B74" s="3" t="s">
        <v>351</v>
      </c>
      <c r="C74" s="3" t="s">
        <v>1570</v>
      </c>
      <c r="D74" s="3" t="str">
        <f>IFERROR(MID(VLOOKUP($B74,Seqs!$A:$B,2,0),E74,1),"")</f>
        <v>Y</v>
      </c>
      <c r="E74" s="3">
        <v>26</v>
      </c>
      <c r="F74" s="3" t="str">
        <f>IFERROR(MID(VLOOKUP($B74,Seqs!$A:$B,2,0),G74,1),"")</f>
        <v>Y</v>
      </c>
      <c r="G74" s="3">
        <v>56</v>
      </c>
      <c r="H74" s="3" t="str">
        <f>IFERROR(MID(VLOOKUP($B74,Seqs!$A:$B,2,0),I74,1),"")</f>
        <v>M</v>
      </c>
      <c r="I74" s="57">
        <v>57</v>
      </c>
      <c r="J74" s="3" t="str">
        <f>IFERROR(MID(VLOOKUP($B74,Seqs!$A:$B,2,0),K74,1),"")</f>
        <v>K</v>
      </c>
      <c r="K74" s="57">
        <v>60</v>
      </c>
      <c r="L74" s="3" t="str">
        <f>IFERROR(MID(VLOOKUP($B74,Seqs!$A:$B,2,0),M74,1),"")</f>
        <v>T</v>
      </c>
      <c r="M74" s="3">
        <v>61</v>
      </c>
      <c r="N74" s="3" t="str">
        <f>IFERROR(MID(VLOOKUP($B74,Seqs!$A:$B,2,0),O74,1),"")</f>
        <v>M</v>
      </c>
      <c r="O74" s="3">
        <v>90</v>
      </c>
      <c r="P74" s="3" t="str">
        <f>IFERROR(MID(VLOOKUP($B74,Seqs!$A:$B,2,0),Q74,1),"")</f>
        <v>R</v>
      </c>
      <c r="Q74" s="3">
        <v>93</v>
      </c>
      <c r="R74" s="3" t="str">
        <f>IFERROR(MID(VLOOKUP($B74,Seqs!$A:$B,2,0),S74,1),"")</f>
        <v>F</v>
      </c>
      <c r="S74" s="3">
        <v>96</v>
      </c>
      <c r="T74" s="3" t="str">
        <f>IFERROR(MID(VLOOKUP($B74,Seqs!$A:$B,2,0),U74,1),"")</f>
        <v>G</v>
      </c>
      <c r="U74" s="3">
        <v>97</v>
      </c>
      <c r="V74" s="3" t="str">
        <f>IFERROR(MID(VLOOKUP($B74,Seqs!$A:$B,2,0),W74,1),"")</f>
        <v>H</v>
      </c>
      <c r="W74" s="3">
        <v>132</v>
      </c>
      <c r="X74" s="3" t="str">
        <f>IFERROR(MID(VLOOKUP($B74,Seqs!$A:$B,2,0),Y74,1),"")</f>
        <v/>
      </c>
      <c r="Y74" s="3" t="s">
        <v>129</v>
      </c>
      <c r="Z74" s="3" t="str">
        <f>IFERROR(MID(VLOOKUP($B74,Seqs!$A:$B,2,0),AA74,1),"")</f>
        <v/>
      </c>
      <c r="AA74" s="3" t="s">
        <v>129</v>
      </c>
      <c r="AB74" s="3" t="str">
        <f>IFERROR(MID(VLOOKUP($B74,Seqs!$A:$B,2,0),AC74,1),"")</f>
        <v>T</v>
      </c>
      <c r="AC74" s="3">
        <v>141</v>
      </c>
      <c r="AD74" s="3" t="str">
        <f>IFERROR(MID(VLOOKUP($B74,Seqs!$A:$B,2,0),AE74,1),"")</f>
        <v>R</v>
      </c>
      <c r="AE74" s="3">
        <v>167</v>
      </c>
      <c r="AF74" s="3" t="str">
        <f>IFERROR(MID(VLOOKUP($B74,Seqs!$A:$B,2,0),AG74,1),"")</f>
        <v>C</v>
      </c>
      <c r="AG74" s="3">
        <v>180</v>
      </c>
      <c r="AH74" s="3" t="str">
        <f>IFERROR(MID(VLOOKUP($B74,Seqs!$A:$B,2,0),AI74,1),"")</f>
        <v>F</v>
      </c>
      <c r="AI74" s="3">
        <v>182</v>
      </c>
      <c r="AJ74" s="3" t="str">
        <f>IFERROR(MID(VLOOKUP($B74,Seqs!$A:$B,2,0),AK74,1),"")</f>
        <v>L</v>
      </c>
      <c r="AK74" s="3">
        <v>191</v>
      </c>
      <c r="AL74" s="3" t="str">
        <f>IFERROR(MID(VLOOKUP($B74,Seqs!$A:$B,2,0),AM74,1),"")</f>
        <v>L</v>
      </c>
      <c r="AM74" s="3">
        <v>222</v>
      </c>
      <c r="AN74" s="3" t="str">
        <f>IFERROR(MID(VLOOKUP($B74,Seqs!$A:$B,2,0),AO74,1),"")</f>
        <v>D</v>
      </c>
      <c r="AO74" s="3">
        <v>236</v>
      </c>
      <c r="AP74" s="3" t="str">
        <f>IFERROR(MID(VLOOKUP($B74,Seqs!$A:$B,2,0),AQ74,1),"")</f>
        <v>G</v>
      </c>
      <c r="AQ74" s="3">
        <v>269</v>
      </c>
      <c r="AR74" s="3" t="str">
        <f>IFERROR(MID(VLOOKUP($B74,Seqs!$A:$B,2,0),AS74,1),"")</f>
        <v>D</v>
      </c>
      <c r="AS74" s="3">
        <v>273</v>
      </c>
      <c r="AT74" s="3" t="str">
        <f>IFERROR(MID(VLOOKUP($B74,Seqs!$A:$B,2,0),AU74,1),"")</f>
        <v>F</v>
      </c>
      <c r="AU74" s="3">
        <v>304</v>
      </c>
      <c r="AV74" s="3" t="str">
        <f>IFERROR(MID(VLOOKUP($B74,Seqs!$A:$B,2,0),AW74,1),"")</f>
        <v/>
      </c>
      <c r="AW74" s="3" t="s">
        <v>129</v>
      </c>
      <c r="AX74" s="3" t="str">
        <f>IFERROR(MID(VLOOKUP($B74,Seqs!$A:$B,2,0),AY74,1),"")</f>
        <v/>
      </c>
      <c r="AY74" s="3" t="s">
        <v>129</v>
      </c>
      <c r="BA74" s="124" t="str">
        <f>VLOOKUP(B74,Classification!A:D,2,0)</f>
        <v>A</v>
      </c>
      <c r="BC74" s="1"/>
      <c r="BD74" s="1"/>
      <c r="BE74" s="57">
        <f t="shared" si="57"/>
        <v>235</v>
      </c>
      <c r="BF74" s="63" t="b">
        <f t="shared" si="58"/>
        <v>1</v>
      </c>
      <c r="BG74" s="116" t="s">
        <v>1513</v>
      </c>
      <c r="BH74" s="102" t="s">
        <v>1513</v>
      </c>
      <c r="BI74" s="102" t="s">
        <v>1513</v>
      </c>
      <c r="BJ74" s="102" t="s">
        <v>1513</v>
      </c>
      <c r="BK74" s="102" t="s">
        <v>1513</v>
      </c>
      <c r="BL74" s="102" t="s">
        <v>1513</v>
      </c>
      <c r="BM74" s="102" t="s">
        <v>1513</v>
      </c>
      <c r="BN74" s="102" t="s">
        <v>1513</v>
      </c>
      <c r="BO74" s="102" t="s">
        <v>1513</v>
      </c>
      <c r="BP74" s="102" t="s">
        <v>1513</v>
      </c>
      <c r="BQ74" s="102" t="s">
        <v>1513</v>
      </c>
      <c r="BR74" s="102" t="s">
        <v>1513</v>
      </c>
      <c r="BS74" s="116">
        <f t="shared" si="59"/>
        <v>26</v>
      </c>
      <c r="BT74" s="117">
        <f t="shared" si="60"/>
        <v>57</v>
      </c>
      <c r="BU74" s="118">
        <f t="shared" si="61"/>
        <v>61</v>
      </c>
      <c r="BV74" s="117">
        <f t="shared" si="62"/>
        <v>93</v>
      </c>
      <c r="BW74" s="118">
        <f t="shared" si="63"/>
        <v>97</v>
      </c>
      <c r="BX74" s="117" t="str">
        <f t="shared" si="64"/>
        <v>-</v>
      </c>
      <c r="BY74" s="118">
        <f t="shared" si="65"/>
        <v>141</v>
      </c>
      <c r="BZ74" s="117">
        <f t="shared" si="66"/>
        <v>180</v>
      </c>
      <c r="CA74" s="118">
        <f t="shared" si="67"/>
        <v>191</v>
      </c>
      <c r="CB74" s="117">
        <f t="shared" si="68"/>
        <v>236</v>
      </c>
      <c r="CC74" s="118">
        <f t="shared" si="69"/>
        <v>273</v>
      </c>
      <c r="CD74" s="117" t="str">
        <f t="shared" si="70"/>
        <v>-</v>
      </c>
      <c r="CE74" s="116">
        <f t="shared" si="71"/>
        <v>56</v>
      </c>
      <c r="CF74" s="117">
        <f t="shared" si="72"/>
        <v>60</v>
      </c>
      <c r="CG74" s="118">
        <f t="shared" si="73"/>
        <v>90</v>
      </c>
      <c r="CH74" s="118">
        <f t="shared" si="74"/>
        <v>96</v>
      </c>
      <c r="CI74" s="118">
        <f t="shared" si="75"/>
        <v>132</v>
      </c>
      <c r="CJ74" s="118" t="str">
        <f t="shared" si="76"/>
        <v>-</v>
      </c>
      <c r="CK74" s="118">
        <f t="shared" si="77"/>
        <v>167</v>
      </c>
      <c r="CL74" s="118">
        <f t="shared" si="78"/>
        <v>182</v>
      </c>
      <c r="CM74" s="118">
        <f t="shared" si="79"/>
        <v>222</v>
      </c>
      <c r="CN74" s="118">
        <f t="shared" si="80"/>
        <v>269</v>
      </c>
      <c r="CO74" s="118">
        <f t="shared" si="81"/>
        <v>304</v>
      </c>
      <c r="CP74" s="118" t="str">
        <f t="shared" si="82"/>
        <v>-</v>
      </c>
      <c r="CQ74" s="57">
        <f t="shared" si="83"/>
        <v>1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</row>
    <row r="75" spans="1:1026" x14ac:dyDescent="0.2">
      <c r="A75" s="3" t="str">
        <f t="shared" si="56"/>
        <v>ccr5_human__wt</v>
      </c>
      <c r="B75" s="3" t="s">
        <v>366</v>
      </c>
      <c r="C75" s="3" t="s">
        <v>293</v>
      </c>
      <c r="D75" s="3" t="str">
        <f>IFERROR(MID(VLOOKUP($B75,Seqs!$A:$B,2,0),E75,1),"")</f>
        <v>V</v>
      </c>
      <c r="E75" s="3">
        <v>25</v>
      </c>
      <c r="F75" s="3" t="str">
        <f>IFERROR(MID(VLOOKUP($B75,Seqs!$A:$B,2,0),G75,1),"")</f>
        <v>C</v>
      </c>
      <c r="G75" s="3">
        <v>58</v>
      </c>
      <c r="H75" s="3" t="str">
        <f>IFERROR(MID(VLOOKUP($B75,Seqs!$A:$B,2,0),I75,1),"")</f>
        <v>K</v>
      </c>
      <c r="I75" s="57">
        <v>59</v>
      </c>
      <c r="J75" s="3" t="str">
        <f>IFERROR(MID(VLOOKUP($B75,Seqs!$A:$B,2,0),K75,1),"")</f>
        <v>K</v>
      </c>
      <c r="K75" s="57">
        <v>62</v>
      </c>
      <c r="L75" s="3" t="str">
        <f>IFERROR(MID(VLOOKUP($B75,Seqs!$A:$B,2,0),M75,1),"")</f>
        <v>S</v>
      </c>
      <c r="M75" s="3">
        <v>63</v>
      </c>
      <c r="N75" s="3" t="str">
        <f>IFERROR(MID(VLOOKUP($B75,Seqs!$A:$B,2,0),O75,1),"")</f>
        <v>A</v>
      </c>
      <c r="O75" s="3">
        <v>92</v>
      </c>
      <c r="P75" s="3" t="str">
        <f>IFERROR(MID(VLOOKUP($B75,Seqs!$A:$B,2,0),Q75,1),"")</f>
        <v>Q</v>
      </c>
      <c r="Q75" s="3">
        <v>93</v>
      </c>
      <c r="R75" s="3" t="str">
        <f>IFERROR(MID(VLOOKUP($B75,Seqs!$A:$B,2,0),S75,1),"")</f>
        <v>F</v>
      </c>
      <c r="S75" s="3">
        <v>96</v>
      </c>
      <c r="T75" s="3" t="str">
        <f>IFERROR(MID(VLOOKUP($B75,Seqs!$A:$B,2,0),U75,1),"")</f>
        <v>G</v>
      </c>
      <c r="U75" s="3">
        <v>97</v>
      </c>
      <c r="V75" s="3" t="str">
        <f>IFERROR(MID(VLOOKUP($B75,Seqs!$A:$B,2,0),W75,1),"")</f>
        <v>H</v>
      </c>
      <c r="W75" s="3">
        <v>132</v>
      </c>
      <c r="X75" s="3" t="str">
        <f>IFERROR(MID(VLOOKUP($B75,Seqs!$A:$B,2,0),Y75,1),"")</f>
        <v>A</v>
      </c>
      <c r="Y75" s="3">
        <v>133</v>
      </c>
      <c r="Z75" s="3" t="str">
        <f>IFERROR(MID(VLOOKUP($B75,Seqs!$A:$B,2,0),AA75,1),"")</f>
        <v>R</v>
      </c>
      <c r="AA75" s="3">
        <v>140</v>
      </c>
      <c r="AB75" s="3" t="str">
        <f>IFERROR(MID(VLOOKUP($B75,Seqs!$A:$B,2,0),AC75,1),"")</f>
        <v>V</v>
      </c>
      <c r="AC75" s="3">
        <v>142</v>
      </c>
      <c r="AD75" s="3" t="str">
        <f>IFERROR(MID(VLOOKUP($B75,Seqs!$A:$B,2,0),AE75,1),"")</f>
        <v>T</v>
      </c>
      <c r="AE75" s="3">
        <v>167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S</v>
      </c>
      <c r="AI75" s="3">
        <v>180</v>
      </c>
      <c r="AJ75" s="3" t="str">
        <f>IFERROR(MID(VLOOKUP($B75,Seqs!$A:$B,2,0),AK75,1),"")</f>
        <v>Y</v>
      </c>
      <c r="AK75" s="3">
        <v>187</v>
      </c>
      <c r="AL75" s="3" t="str">
        <f>IFERROR(MID(VLOOKUP($B75,Seqs!$A:$B,2,0),AM75,1),"")</f>
        <v>C</v>
      </c>
      <c r="AM75" s="3">
        <v>224</v>
      </c>
      <c r="AN75" s="3" t="str">
        <f>IFERROR(MID(VLOOKUP($B75,Seqs!$A:$B,2,0),AO75,1),"")</f>
        <v>R</v>
      </c>
      <c r="AO75" s="3">
        <v>230</v>
      </c>
      <c r="AP75" s="3" t="str">
        <f>IFERROR(MID(VLOOKUP($B75,Seqs!$A:$B,2,0),AQ75,1),"")</f>
        <v>G</v>
      </c>
      <c r="AQ75" s="3">
        <v>265</v>
      </c>
      <c r="AR75" s="3" t="str">
        <f>IFERROR(MID(VLOOKUP($B75,Seqs!$A:$B,2,0),AS75,1),"")</f>
        <v>N</v>
      </c>
      <c r="AS75" s="3">
        <v>268</v>
      </c>
      <c r="AT75" s="3" t="str">
        <f>IFERROR(MID(VLOOKUP($B75,Seqs!$A:$B,2,0),AU75,1),"")</f>
        <v>V</v>
      </c>
      <c r="AU75" s="3">
        <v>300</v>
      </c>
      <c r="AV75" s="3" t="str">
        <f>IFERROR(MID(VLOOKUP($B75,Seqs!$A:$B,2,0),AW75,1),"")</f>
        <v>G</v>
      </c>
      <c r="AW75" s="3">
        <v>301</v>
      </c>
      <c r="AX75" s="3" t="str">
        <f>IFERROR(MID(VLOOKUP($B75,Seqs!$A:$B,2,0),AY75,1),"")</f>
        <v>Q</v>
      </c>
      <c r="AY75" s="3">
        <v>313</v>
      </c>
      <c r="BA75" s="124" t="str">
        <f>VLOOKUP(B75,Classification!A:D,2,0)</f>
        <v>A</v>
      </c>
      <c r="BC75" s="1"/>
      <c r="BD75" s="72">
        <f>S75-Q75+1</f>
        <v>4</v>
      </c>
      <c r="BE75" s="57">
        <f t="shared" si="57"/>
        <v>265</v>
      </c>
      <c r="BF75" s="63" t="b">
        <f t="shared" si="58"/>
        <v>1</v>
      </c>
      <c r="BG75" s="116" t="s">
        <v>1513</v>
      </c>
      <c r="BH75" s="102" t="s">
        <v>1513</v>
      </c>
      <c r="BI75" s="102" t="s">
        <v>1513</v>
      </c>
      <c r="BJ75" s="102" t="s">
        <v>1513</v>
      </c>
      <c r="BK75" s="102" t="s">
        <v>1513</v>
      </c>
      <c r="BL75" s="102" t="s">
        <v>1513</v>
      </c>
      <c r="BM75" s="102" t="s">
        <v>1513</v>
      </c>
      <c r="BN75" s="102" t="s">
        <v>1513</v>
      </c>
      <c r="BO75" s="102" t="s">
        <v>1513</v>
      </c>
      <c r="BP75" s="102" t="s">
        <v>1513</v>
      </c>
      <c r="BQ75" s="102" t="s">
        <v>1513</v>
      </c>
      <c r="BR75" s="102" t="s">
        <v>1513</v>
      </c>
      <c r="BS75" s="116">
        <f t="shared" si="59"/>
        <v>25</v>
      </c>
      <c r="BT75" s="117">
        <f t="shared" si="60"/>
        <v>59</v>
      </c>
      <c r="BU75" s="118">
        <f t="shared" si="61"/>
        <v>63</v>
      </c>
      <c r="BV75" s="117">
        <f t="shared" si="62"/>
        <v>93</v>
      </c>
      <c r="BW75" s="118">
        <f t="shared" si="63"/>
        <v>97</v>
      </c>
      <c r="BX75" s="117">
        <f t="shared" si="64"/>
        <v>133</v>
      </c>
      <c r="BY75" s="118">
        <f t="shared" si="65"/>
        <v>142</v>
      </c>
      <c r="BZ75" s="117">
        <f t="shared" si="66"/>
        <v>178</v>
      </c>
      <c r="CA75" s="118">
        <f t="shared" si="67"/>
        <v>187</v>
      </c>
      <c r="CB75" s="117">
        <f t="shared" si="68"/>
        <v>230</v>
      </c>
      <c r="CC75" s="118">
        <f t="shared" si="69"/>
        <v>268</v>
      </c>
      <c r="CD75" s="117">
        <f t="shared" si="70"/>
        <v>301</v>
      </c>
      <c r="CE75" s="116">
        <f t="shared" si="71"/>
        <v>58</v>
      </c>
      <c r="CF75" s="117">
        <f t="shared" si="72"/>
        <v>62</v>
      </c>
      <c r="CG75" s="118">
        <f t="shared" si="73"/>
        <v>92</v>
      </c>
      <c r="CH75" s="118">
        <f t="shared" si="74"/>
        <v>96</v>
      </c>
      <c r="CI75" s="118">
        <f t="shared" si="75"/>
        <v>132</v>
      </c>
      <c r="CJ75" s="118">
        <f t="shared" si="76"/>
        <v>140</v>
      </c>
      <c r="CK75" s="118">
        <f t="shared" si="77"/>
        <v>167</v>
      </c>
      <c r="CL75" s="118">
        <f t="shared" si="78"/>
        <v>180</v>
      </c>
      <c r="CM75" s="118">
        <f t="shared" si="79"/>
        <v>224</v>
      </c>
      <c r="CN75" s="118">
        <f t="shared" si="80"/>
        <v>265</v>
      </c>
      <c r="CO75" s="118">
        <f t="shared" si="81"/>
        <v>300</v>
      </c>
      <c r="CP75" s="118">
        <f t="shared" si="82"/>
        <v>313</v>
      </c>
      <c r="CQ75" s="57">
        <f t="shared" si="83"/>
        <v>1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</row>
    <row r="76" spans="1:1026" x14ac:dyDescent="0.2">
      <c r="A76" s="3" t="str">
        <f t="shared" si="56"/>
        <v>ccr5_human_4MBS</v>
      </c>
      <c r="B76" s="3" t="s">
        <v>366</v>
      </c>
      <c r="C76" s="3" t="s">
        <v>264</v>
      </c>
      <c r="D76" s="3" t="str">
        <f>IFERROR(MID(VLOOKUP($B76,Seqs!$A:$B,2,0),E76,1),"")</f>
        <v>V</v>
      </c>
      <c r="E76" s="3">
        <v>25</v>
      </c>
      <c r="F76" s="3" t="str">
        <f>IFERROR(MID(VLOOKUP($B76,Seqs!$A:$B,2,0),G76,1),"")</f>
        <v>C</v>
      </c>
      <c r="G76" s="3">
        <v>58</v>
      </c>
      <c r="H76" s="3" t="str">
        <f>IFERROR(MID(VLOOKUP($B76,Seqs!$A:$B,2,0),I76,1),"")</f>
        <v>K</v>
      </c>
      <c r="I76" s="57">
        <v>59</v>
      </c>
      <c r="J76" s="3" t="str">
        <f>IFERROR(MID(VLOOKUP($B76,Seqs!$A:$B,2,0),K76,1),"")</f>
        <v>K</v>
      </c>
      <c r="K76" s="57">
        <v>62</v>
      </c>
      <c r="L76" s="3" t="str">
        <f>IFERROR(MID(VLOOKUP($B76,Seqs!$A:$B,2,0),M76,1),"")</f>
        <v>S</v>
      </c>
      <c r="M76" s="3">
        <v>63</v>
      </c>
      <c r="N76" s="3" t="str">
        <f>IFERROR(MID(VLOOKUP($B76,Seqs!$A:$B,2,0),O76,1),"")</f>
        <v>A</v>
      </c>
      <c r="O76" s="3">
        <v>92</v>
      </c>
      <c r="P76" s="3" t="str">
        <f>IFERROR(MID(VLOOKUP($B76,Seqs!$A:$B,2,0),Q76,1),"")</f>
        <v>Q</v>
      </c>
      <c r="Q76" s="3">
        <v>93</v>
      </c>
      <c r="R76" s="3" t="str">
        <f>IFERROR(MID(VLOOKUP($B76,Seqs!$A:$B,2,0),S76,1),"")</f>
        <v>F</v>
      </c>
      <c r="S76" s="3">
        <v>96</v>
      </c>
      <c r="T76" s="3" t="str">
        <f>IFERROR(MID(VLOOKUP($B76,Seqs!$A:$B,2,0),U76,1),"")</f>
        <v>G</v>
      </c>
      <c r="U76" s="3">
        <v>97</v>
      </c>
      <c r="V76" s="3" t="str">
        <f>IFERROR(MID(VLOOKUP($B76,Seqs!$A:$B,2,0),W76,1),"")</f>
        <v>H</v>
      </c>
      <c r="W76" s="3">
        <v>132</v>
      </c>
      <c r="X76" s="3" t="str">
        <f>IFERROR(MID(VLOOKUP($B76,Seqs!$A:$B,2,0),Y76,1),"")</f>
        <v>A</v>
      </c>
      <c r="Y76" s="3">
        <v>133</v>
      </c>
      <c r="Z76" s="3" t="str">
        <f>IFERROR(MID(VLOOKUP($B76,Seqs!$A:$B,2,0),AA76,1),"")</f>
        <v>R</v>
      </c>
      <c r="AA76" s="3">
        <v>140</v>
      </c>
      <c r="AB76" s="3" t="str">
        <f>IFERROR(MID(VLOOKUP($B76,Seqs!$A:$B,2,0),AC76,1),"")</f>
        <v>V</v>
      </c>
      <c r="AC76" s="3">
        <v>142</v>
      </c>
      <c r="AD76" s="3" t="str">
        <f>IFERROR(MID(VLOOKUP($B76,Seqs!$A:$B,2,0),AE76,1),"")</f>
        <v>T</v>
      </c>
      <c r="AE76" s="3">
        <v>167</v>
      </c>
      <c r="AF76" s="3" t="str">
        <f>IFERROR(MID(VLOOKUP($B76,Seqs!$A:$B,2,0),AG76,1),"")</f>
        <v>C</v>
      </c>
      <c r="AG76" s="3">
        <v>178</v>
      </c>
      <c r="AH76" s="3" t="str">
        <f>IFERROR(MID(VLOOKUP($B76,Seqs!$A:$B,2,0),AI76,1),"")</f>
        <v>S</v>
      </c>
      <c r="AI76" s="3">
        <v>180</v>
      </c>
      <c r="AJ76" s="3" t="str">
        <f>IFERROR(MID(VLOOKUP($B76,Seqs!$A:$B,2,0),AK76,1),"")</f>
        <v>Y</v>
      </c>
      <c r="AK76" s="3">
        <v>187</v>
      </c>
      <c r="AL76" s="3" t="str">
        <f>IFERROR(MID(VLOOKUP($B76,Seqs!$A:$B,2,0),AM76,1),"")</f>
        <v>R</v>
      </c>
      <c r="AM76" s="3">
        <v>223</v>
      </c>
      <c r="AN76" s="3" t="str">
        <f>IFERROR(MID(VLOOKUP($B76,Seqs!$A:$B,2,0),AO76,1),"")</f>
        <v>R</v>
      </c>
      <c r="AO76" s="3">
        <v>230</v>
      </c>
      <c r="AP76" s="3" t="str">
        <f>IFERROR(MID(VLOOKUP($B76,Seqs!$A:$B,2,0),AQ76,1),"")</f>
        <v>G</v>
      </c>
      <c r="AQ76" s="3">
        <v>265</v>
      </c>
      <c r="AR76" s="3" t="str">
        <f>IFERROR(MID(VLOOKUP($B76,Seqs!$A:$B,2,0),AS76,1),"")</f>
        <v>N</v>
      </c>
      <c r="AS76" s="3">
        <v>268</v>
      </c>
      <c r="AT76" s="3" t="str">
        <f>IFERROR(MID(VLOOKUP($B76,Seqs!$A:$B,2,0),AU76,1),"")</f>
        <v>V</v>
      </c>
      <c r="AU76" s="3">
        <v>300</v>
      </c>
      <c r="AV76" s="3" t="str">
        <f>IFERROR(MID(VLOOKUP($B76,Seqs!$A:$B,2,0),AW76,1),"")</f>
        <v>G</v>
      </c>
      <c r="AW76" s="3">
        <v>301</v>
      </c>
      <c r="AX76" s="3" t="str">
        <f>IFERROR(MID(VLOOKUP($B76,Seqs!$A:$B,2,0),AY76,1),"")</f>
        <v>Q</v>
      </c>
      <c r="AY76" s="3">
        <v>313</v>
      </c>
      <c r="BA76" s="124" t="str">
        <f>VLOOKUP(B76,Classification!A:D,2,0)</f>
        <v>A</v>
      </c>
      <c r="BC76" s="1"/>
      <c r="BD76" s="1"/>
      <c r="BE76" s="57">
        <f t="shared" si="57"/>
        <v>264</v>
      </c>
      <c r="BF76" s="63" t="b">
        <f t="shared" si="58"/>
        <v>1</v>
      </c>
      <c r="BG76" s="116" t="s">
        <v>1513</v>
      </c>
      <c r="BH76" s="102" t="s">
        <v>1513</v>
      </c>
      <c r="BI76" s="102" t="s">
        <v>1513</v>
      </c>
      <c r="BJ76" s="102" t="s">
        <v>1513</v>
      </c>
      <c r="BK76" s="102" t="s">
        <v>1513</v>
      </c>
      <c r="BL76" s="102" t="s">
        <v>1513</v>
      </c>
      <c r="BM76" s="102" t="s">
        <v>1513</v>
      </c>
      <c r="BN76" s="102" t="s">
        <v>1513</v>
      </c>
      <c r="BO76" s="102" t="s">
        <v>1513</v>
      </c>
      <c r="BP76" s="102" t="s">
        <v>1513</v>
      </c>
      <c r="BQ76" s="102" t="s">
        <v>1513</v>
      </c>
      <c r="BR76" s="102" t="s">
        <v>1513</v>
      </c>
      <c r="BS76" s="116">
        <f t="shared" si="59"/>
        <v>25</v>
      </c>
      <c r="BT76" s="117">
        <f t="shared" si="60"/>
        <v>59</v>
      </c>
      <c r="BU76" s="118">
        <f t="shared" si="61"/>
        <v>63</v>
      </c>
      <c r="BV76" s="117">
        <f t="shared" si="62"/>
        <v>93</v>
      </c>
      <c r="BW76" s="118">
        <f t="shared" si="63"/>
        <v>97</v>
      </c>
      <c r="BX76" s="117">
        <f t="shared" si="64"/>
        <v>133</v>
      </c>
      <c r="BY76" s="118">
        <f t="shared" si="65"/>
        <v>142</v>
      </c>
      <c r="BZ76" s="117">
        <f t="shared" si="66"/>
        <v>178</v>
      </c>
      <c r="CA76" s="118">
        <f t="shared" si="67"/>
        <v>187</v>
      </c>
      <c r="CB76" s="117">
        <f t="shared" si="68"/>
        <v>230</v>
      </c>
      <c r="CC76" s="118">
        <f t="shared" si="69"/>
        <v>268</v>
      </c>
      <c r="CD76" s="117">
        <f t="shared" si="70"/>
        <v>301</v>
      </c>
      <c r="CE76" s="116">
        <f t="shared" si="71"/>
        <v>58</v>
      </c>
      <c r="CF76" s="117">
        <f t="shared" si="72"/>
        <v>62</v>
      </c>
      <c r="CG76" s="118">
        <f t="shared" si="73"/>
        <v>92</v>
      </c>
      <c r="CH76" s="118">
        <f t="shared" si="74"/>
        <v>96</v>
      </c>
      <c r="CI76" s="118">
        <f t="shared" si="75"/>
        <v>132</v>
      </c>
      <c r="CJ76" s="118">
        <f t="shared" si="76"/>
        <v>140</v>
      </c>
      <c r="CK76" s="118">
        <f t="shared" si="77"/>
        <v>167</v>
      </c>
      <c r="CL76" s="118">
        <f t="shared" si="78"/>
        <v>180</v>
      </c>
      <c r="CM76" s="118">
        <f t="shared" si="79"/>
        <v>223</v>
      </c>
      <c r="CN76" s="118">
        <f t="shared" si="80"/>
        <v>265</v>
      </c>
      <c r="CO76" s="118">
        <f t="shared" si="81"/>
        <v>300</v>
      </c>
      <c r="CP76" s="118">
        <f t="shared" si="82"/>
        <v>313</v>
      </c>
      <c r="CQ76" s="57">
        <f t="shared" si="83"/>
        <v>1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</row>
    <row r="77" spans="1:1026" x14ac:dyDescent="0.2">
      <c r="A77" s="3" t="str">
        <f t="shared" si="56"/>
        <v>cnr1_human__wt</v>
      </c>
      <c r="B77" s="3" t="s">
        <v>375</v>
      </c>
      <c r="C77" s="3" t="s">
        <v>293</v>
      </c>
      <c r="D77" s="3" t="str">
        <f>IFERROR(MID(VLOOKUP($B77,Seqs!$A:$B,2,0),E77,1),"")</f>
        <v>P</v>
      </c>
      <c r="E77" s="3">
        <v>113</v>
      </c>
      <c r="F77" s="3" t="str">
        <f>IFERROR(MID(VLOOKUP($B77,Seqs!$A:$B,2,0),G77,1),"")</f>
        <v>S</v>
      </c>
      <c r="G77" s="3">
        <v>144</v>
      </c>
      <c r="H77" s="3" t="str">
        <f>IFERROR(MID(VLOOKUP($B77,Seqs!$A:$B,2,0),I77,1),"")</f>
        <v>R</v>
      </c>
      <c r="I77" s="57">
        <v>145</v>
      </c>
      <c r="J77" s="3" t="str">
        <f>IFERROR(MID(VLOOKUP($B77,Seqs!$A:$B,2,0),K77,1),"")</f>
        <v>R</v>
      </c>
      <c r="K77" s="57">
        <v>148</v>
      </c>
      <c r="L77" s="3" t="str">
        <f>IFERROR(MID(VLOOKUP($B77,Seqs!$A:$B,2,0),M77,1),"")</f>
        <v>R</v>
      </c>
      <c r="M77" s="3">
        <v>150</v>
      </c>
      <c r="N77" s="3" t="str">
        <f>IFERROR(MID(VLOOKUP($B77,Seqs!$A:$B,2,0),O77,1),"")</f>
        <v>V</v>
      </c>
      <c r="O77" s="127">
        <v>179</v>
      </c>
      <c r="P77" s="127" t="str">
        <f>IFERROR(MID(VLOOKUP($B77,Seqs!$A:$B,2,0),Q77,1),"")</f>
        <v/>
      </c>
      <c r="Q77" s="127" t="s">
        <v>129</v>
      </c>
      <c r="R77" s="127" t="str">
        <f>IFERROR(MID(VLOOKUP($B77,Seqs!$A:$B,2,0),S77,1),"")</f>
        <v/>
      </c>
      <c r="S77" s="127" t="s">
        <v>129</v>
      </c>
      <c r="T77" s="3" t="str">
        <f>IFERROR(MID(VLOOKUP($B77,Seqs!$A:$B,2,0),U77,1),"")</f>
        <v>S</v>
      </c>
      <c r="U77" s="3">
        <v>185</v>
      </c>
      <c r="V77" s="3" t="str">
        <f>IFERROR(MID(VLOOKUP($B77,Seqs!$A:$B,2,0),W77,1),"")</f>
        <v>R</v>
      </c>
      <c r="W77" s="3">
        <v>220</v>
      </c>
      <c r="X77" s="3" t="str">
        <f>IFERROR(MID(VLOOKUP($B77,Seqs!$A:$B,2,0),Y77,1),"")</f>
        <v>P</v>
      </c>
      <c r="Y77" s="3">
        <v>221</v>
      </c>
      <c r="Z77" s="3" t="str">
        <f>IFERROR(MID(VLOOKUP($B77,Seqs!$A:$B,2,0),AA77,1),"")</f>
        <v>V</v>
      </c>
      <c r="AA77" s="3">
        <v>228</v>
      </c>
      <c r="AB77" s="3" t="str">
        <f>IFERROR(MID(VLOOKUP($B77,Seqs!$A:$B,2,0),AC77,1),"")</f>
        <v>R</v>
      </c>
      <c r="AC77" s="3">
        <v>230</v>
      </c>
      <c r="AD77" s="3" t="str">
        <f>IFERROR(MID(VLOOKUP($B77,Seqs!$A:$B,2,0),AE77,1),"")</f>
        <v>G</v>
      </c>
      <c r="AE77" s="3">
        <v>254</v>
      </c>
      <c r="AF77" s="3" t="str">
        <f>IFERROR(MID(VLOOKUP($B77,Seqs!$A:$B,2,0),AG77,1),"")</f>
        <v/>
      </c>
      <c r="AG77" s="3" t="s">
        <v>129</v>
      </c>
      <c r="AH77" s="3" t="str">
        <f>IFERROR(MID(VLOOKUP($B77,Seqs!$A:$B,2,0),AI77,1),"")</f>
        <v/>
      </c>
      <c r="AI77" s="3" t="s">
        <v>129</v>
      </c>
      <c r="AJ77" s="3" t="str">
        <f>IFERROR(MID(VLOOKUP($B77,Seqs!$A:$B,2,0),AK77,1),"")</f>
        <v>D</v>
      </c>
      <c r="AK77" s="3">
        <v>272</v>
      </c>
      <c r="AL77" s="3" t="str">
        <f>IFERROR(MID(VLOOKUP($B77,Seqs!$A:$B,2,0),AM77,1),"")</f>
        <v>G</v>
      </c>
      <c r="AM77" s="3">
        <v>312</v>
      </c>
      <c r="AN77" s="3" t="str">
        <f>IFERROR(MID(VLOOKUP($B77,Seqs!$A:$B,2,0),AO77,1),"")</f>
        <v>P</v>
      </c>
      <c r="AO77" s="3">
        <v>332</v>
      </c>
      <c r="AP77" s="3" t="str">
        <f>IFERROR(MID(VLOOKUP($B77,Seqs!$A:$B,2,0),AQ77,1),"")</f>
        <v>G</v>
      </c>
      <c r="AQ77" s="3">
        <v>369</v>
      </c>
      <c r="AR77" s="3" t="str">
        <f>IFERROR(MID(VLOOKUP($B77,Seqs!$A:$B,2,0),AS77,1),"")</f>
        <v>K</v>
      </c>
      <c r="AS77" s="3">
        <v>373</v>
      </c>
      <c r="AT77" s="3" t="str">
        <f>IFERROR(MID(VLOOKUP($B77,Seqs!$A:$B,2,0),AU77,1),"")</f>
        <v>R</v>
      </c>
      <c r="AU77" s="3">
        <v>400</v>
      </c>
      <c r="AV77" s="3" t="str">
        <f>IFERROR(MID(VLOOKUP($B77,Seqs!$A:$B,2,0),AW77,1),"")</f>
        <v>S</v>
      </c>
      <c r="AW77" s="3">
        <v>401</v>
      </c>
      <c r="AX77" s="3" t="str">
        <f>IFERROR(MID(VLOOKUP($B77,Seqs!$A:$B,2,0),AY77,1),"")</f>
        <v>P</v>
      </c>
      <c r="AY77" s="3">
        <v>413</v>
      </c>
      <c r="BA77" s="124" t="str">
        <f>VLOOKUP(B77,Classification!A:D,2,0)</f>
        <v>A</v>
      </c>
      <c r="BB77" s="90" t="s">
        <v>1596</v>
      </c>
      <c r="BD77" s="35"/>
      <c r="BE77" s="57">
        <f t="shared" si="57"/>
        <v>257</v>
      </c>
      <c r="BF77" s="63" t="b">
        <f t="shared" si="58"/>
        <v>1</v>
      </c>
      <c r="BG77" s="116" t="s">
        <v>1513</v>
      </c>
      <c r="BH77" s="102" t="s">
        <v>1513</v>
      </c>
      <c r="BI77" s="102" t="s">
        <v>1513</v>
      </c>
      <c r="BJ77" s="102" t="s">
        <v>1513</v>
      </c>
      <c r="BK77" s="102" t="s">
        <v>1513</v>
      </c>
      <c r="BL77" s="102" t="s">
        <v>1513</v>
      </c>
      <c r="BM77" s="102" t="s">
        <v>1513</v>
      </c>
      <c r="BN77" s="102" t="s">
        <v>1513</v>
      </c>
      <c r="BO77" s="102" t="s">
        <v>1513</v>
      </c>
      <c r="BP77" s="102" t="s">
        <v>1513</v>
      </c>
      <c r="BQ77" s="102" t="s">
        <v>1513</v>
      </c>
      <c r="BR77" s="102" t="s">
        <v>1513</v>
      </c>
      <c r="BS77" s="116">
        <f t="shared" si="59"/>
        <v>113</v>
      </c>
      <c r="BT77" s="117">
        <f t="shared" si="60"/>
        <v>145</v>
      </c>
      <c r="BU77" s="118">
        <f t="shared" si="61"/>
        <v>150</v>
      </c>
      <c r="BV77" s="117" t="str">
        <f t="shared" si="62"/>
        <v>-</v>
      </c>
      <c r="BW77" s="118">
        <f t="shared" si="63"/>
        <v>185</v>
      </c>
      <c r="BX77" s="117">
        <f t="shared" si="64"/>
        <v>221</v>
      </c>
      <c r="BY77" s="118">
        <f t="shared" si="65"/>
        <v>230</v>
      </c>
      <c r="BZ77" s="117" t="str">
        <f t="shared" si="66"/>
        <v>-</v>
      </c>
      <c r="CA77" s="118">
        <f t="shared" si="67"/>
        <v>272</v>
      </c>
      <c r="CB77" s="117">
        <f t="shared" si="68"/>
        <v>332</v>
      </c>
      <c r="CC77" s="118">
        <f t="shared" si="69"/>
        <v>373</v>
      </c>
      <c r="CD77" s="117">
        <f t="shared" si="70"/>
        <v>401</v>
      </c>
      <c r="CE77" s="116">
        <f t="shared" si="71"/>
        <v>144</v>
      </c>
      <c r="CF77" s="117">
        <f t="shared" si="72"/>
        <v>148</v>
      </c>
      <c r="CG77" s="118">
        <f t="shared" si="73"/>
        <v>179</v>
      </c>
      <c r="CH77" s="118" t="str">
        <f t="shared" si="74"/>
        <v>-</v>
      </c>
      <c r="CI77" s="118">
        <f t="shared" si="75"/>
        <v>220</v>
      </c>
      <c r="CJ77" s="118">
        <f t="shared" si="76"/>
        <v>228</v>
      </c>
      <c r="CK77" s="118">
        <f t="shared" si="77"/>
        <v>254</v>
      </c>
      <c r="CL77" s="118" t="str">
        <f t="shared" si="78"/>
        <v>-</v>
      </c>
      <c r="CM77" s="118">
        <f t="shared" si="79"/>
        <v>312</v>
      </c>
      <c r="CN77" s="118">
        <f t="shared" si="80"/>
        <v>369</v>
      </c>
      <c r="CO77" s="118">
        <f t="shared" si="81"/>
        <v>400</v>
      </c>
      <c r="CP77" s="118">
        <f t="shared" si="82"/>
        <v>413</v>
      </c>
      <c r="CQ77" s="57">
        <f t="shared" si="83"/>
        <v>2</v>
      </c>
    </row>
    <row r="78" spans="1:1026" x14ac:dyDescent="0.2">
      <c r="A78" s="3" t="str">
        <f t="shared" si="56"/>
        <v>cnr1_human_5TGZ</v>
      </c>
      <c r="B78" s="3" t="s">
        <v>375</v>
      </c>
      <c r="C78" s="3" t="s">
        <v>1593</v>
      </c>
      <c r="D78" s="3" t="str">
        <f>IFERROR(MID(VLOOKUP($B78,Seqs!$A:$B,2,0),E78,1),"")</f>
        <v>P</v>
      </c>
      <c r="E78" s="3">
        <v>113</v>
      </c>
      <c r="F78" s="3" t="str">
        <f>IFERROR(MID(VLOOKUP($B78,Seqs!$A:$B,2,0),G78,1),"")</f>
        <v>S</v>
      </c>
      <c r="G78" s="3">
        <v>144</v>
      </c>
      <c r="H78" s="3" t="str">
        <f>IFERROR(MID(VLOOKUP($B78,Seqs!$A:$B,2,0),I78,1),"")</f>
        <v>R</v>
      </c>
      <c r="I78" s="57">
        <v>145</v>
      </c>
      <c r="J78" s="3" t="str">
        <f>IFERROR(MID(VLOOKUP($B78,Seqs!$A:$B,2,0),K78,1),"")</f>
        <v>R</v>
      </c>
      <c r="K78" s="57">
        <v>148</v>
      </c>
      <c r="L78" s="3" t="str">
        <f>IFERROR(MID(VLOOKUP($B78,Seqs!$A:$B,2,0),M78,1),"")</f>
        <v>R</v>
      </c>
      <c r="M78" s="3">
        <v>150</v>
      </c>
      <c r="N78" s="3" t="str">
        <f>IFERROR(MID(VLOOKUP($B78,Seqs!$A:$B,2,0),O78,1),"")</f>
        <v>V</v>
      </c>
      <c r="O78" s="3">
        <v>179</v>
      </c>
      <c r="P78" s="3" t="str">
        <f>IFERROR(MID(VLOOKUP($B78,Seqs!$A:$B,2,0),Q78,1),"")</f>
        <v/>
      </c>
      <c r="Q78" s="3" t="s">
        <v>129</v>
      </c>
      <c r="R78" s="3" t="str">
        <f>IFERROR(MID(VLOOKUP($B78,Seqs!$A:$B,2,0),S78,1),"")</f>
        <v/>
      </c>
      <c r="S78" s="3" t="s">
        <v>129</v>
      </c>
      <c r="T78" s="3" t="str">
        <f>IFERROR(MID(VLOOKUP($B78,Seqs!$A:$B,2,0),U78,1),"")</f>
        <v>S</v>
      </c>
      <c r="U78" s="3">
        <v>185</v>
      </c>
      <c r="V78" s="3" t="str">
        <f>IFERROR(MID(VLOOKUP($B78,Seqs!$A:$B,2,0),W78,1),"")</f>
        <v>R</v>
      </c>
      <c r="W78" s="3">
        <v>220</v>
      </c>
      <c r="X78" s="3" t="str">
        <f>IFERROR(MID(VLOOKUP($B78,Seqs!$A:$B,2,0),Y78,1),"")</f>
        <v>P</v>
      </c>
      <c r="Y78" s="3">
        <v>221</v>
      </c>
      <c r="Z78" s="3" t="str">
        <f>IFERROR(MID(VLOOKUP($B78,Seqs!$A:$B,2,0),AA78,1),"")</f>
        <v>V</v>
      </c>
      <c r="AA78" s="3">
        <v>228</v>
      </c>
      <c r="AB78" s="3" t="str">
        <f>IFERROR(MID(VLOOKUP($B78,Seqs!$A:$B,2,0),AC78,1),"")</f>
        <v>R</v>
      </c>
      <c r="AC78" s="3">
        <v>230</v>
      </c>
      <c r="AD78" s="3" t="str">
        <f>IFERROR(MID(VLOOKUP($B78,Seqs!$A:$B,2,0),AE78,1),"")</f>
        <v>G</v>
      </c>
      <c r="AE78" s="3">
        <v>254</v>
      </c>
      <c r="AF78" s="3" t="str">
        <f>IFERROR(MID(VLOOKUP($B78,Seqs!$A:$B,2,0),AG78,1),"")</f>
        <v/>
      </c>
      <c r="AG78" s="3" t="s">
        <v>129</v>
      </c>
      <c r="AH78" s="3" t="str">
        <f>IFERROR(MID(VLOOKUP($B78,Seqs!$A:$B,2,0),AI78,1),"")</f>
        <v/>
      </c>
      <c r="AI78" s="3" t="s">
        <v>129</v>
      </c>
      <c r="AJ78" s="3" t="str">
        <f>IFERROR(MID(VLOOKUP($B78,Seqs!$A:$B,2,0),AK78,1),"")</f>
        <v>D</v>
      </c>
      <c r="AK78" s="3">
        <v>272</v>
      </c>
      <c r="AL78" s="3" t="str">
        <f>IFERROR(MID(VLOOKUP($B78,Seqs!$A:$B,2,0),AM78,1),"")</f>
        <v>H</v>
      </c>
      <c r="AM78" s="3">
        <v>304</v>
      </c>
      <c r="AN78" s="3" t="str">
        <f>IFERROR(MID(VLOOKUP($B78,Seqs!$A:$B,2,0),AO78,1),"")</f>
        <v>P</v>
      </c>
      <c r="AO78" s="3">
        <v>332</v>
      </c>
      <c r="AP78" s="3" t="str">
        <f>IFERROR(MID(VLOOKUP($B78,Seqs!$A:$B,2,0),AQ78,1),"")</f>
        <v>G</v>
      </c>
      <c r="AQ78" s="3">
        <v>369</v>
      </c>
      <c r="AR78" s="3" t="str">
        <f>IFERROR(MID(VLOOKUP($B78,Seqs!$A:$B,2,0),AS78,1),"")</f>
        <v>K</v>
      </c>
      <c r="AS78" s="3">
        <v>373</v>
      </c>
      <c r="AT78" s="3" t="str">
        <f>IFERROR(MID(VLOOKUP($B78,Seqs!$A:$B,2,0),AU78,1),"")</f>
        <v>R</v>
      </c>
      <c r="AU78" s="3">
        <v>400</v>
      </c>
      <c r="AV78" s="3" t="str">
        <f>IFERROR(MID(VLOOKUP($B78,Seqs!$A:$B,2,0),AW78,1),"")</f>
        <v>S</v>
      </c>
      <c r="AW78" s="3">
        <v>401</v>
      </c>
      <c r="AX78" s="3" t="str">
        <f>IFERROR(MID(VLOOKUP($B78,Seqs!$A:$B,2,0),AY78,1),"")</f>
        <v>M</v>
      </c>
      <c r="AY78" s="3">
        <v>411</v>
      </c>
      <c r="BA78" s="124" t="str">
        <f>VLOOKUP(B78,Classification!A:D,2,0)</f>
        <v>A</v>
      </c>
      <c r="BB78" s="90" t="s">
        <v>1596</v>
      </c>
      <c r="BD78" s="35"/>
      <c r="BE78" s="57">
        <f t="shared" si="57"/>
        <v>247</v>
      </c>
      <c r="BF78" s="63" t="b">
        <f t="shared" si="58"/>
        <v>1</v>
      </c>
      <c r="BG78" s="116" t="s">
        <v>1513</v>
      </c>
      <c r="BH78" s="102" t="s">
        <v>1513</v>
      </c>
      <c r="BI78" s="102" t="s">
        <v>1513</v>
      </c>
      <c r="BJ78" s="102" t="s">
        <v>1513</v>
      </c>
      <c r="BK78" s="102" t="s">
        <v>1513</v>
      </c>
      <c r="BL78" s="102" t="s">
        <v>1513</v>
      </c>
      <c r="BM78" s="102" t="s">
        <v>1513</v>
      </c>
      <c r="BN78" s="102" t="s">
        <v>1513</v>
      </c>
      <c r="BO78" s="102" t="s">
        <v>1513</v>
      </c>
      <c r="BP78" s="102" t="s">
        <v>1513</v>
      </c>
      <c r="BQ78" s="102" t="s">
        <v>1513</v>
      </c>
      <c r="BR78" s="102" t="s">
        <v>1513</v>
      </c>
      <c r="BS78" s="116">
        <f t="shared" si="59"/>
        <v>113</v>
      </c>
      <c r="BT78" s="117">
        <f t="shared" si="60"/>
        <v>145</v>
      </c>
      <c r="BU78" s="118">
        <f t="shared" si="61"/>
        <v>150</v>
      </c>
      <c r="BV78" s="117" t="str">
        <f t="shared" si="62"/>
        <v>-</v>
      </c>
      <c r="BW78" s="118">
        <f t="shared" si="63"/>
        <v>185</v>
      </c>
      <c r="BX78" s="117">
        <f t="shared" si="64"/>
        <v>221</v>
      </c>
      <c r="BY78" s="118">
        <f t="shared" si="65"/>
        <v>230</v>
      </c>
      <c r="BZ78" s="117" t="str">
        <f t="shared" si="66"/>
        <v>-</v>
      </c>
      <c r="CA78" s="118">
        <f t="shared" si="67"/>
        <v>272</v>
      </c>
      <c r="CB78" s="117">
        <f t="shared" si="68"/>
        <v>332</v>
      </c>
      <c r="CC78" s="118">
        <f t="shared" si="69"/>
        <v>373</v>
      </c>
      <c r="CD78" s="117">
        <f t="shared" si="70"/>
        <v>401</v>
      </c>
      <c r="CE78" s="116">
        <f t="shared" si="71"/>
        <v>144</v>
      </c>
      <c r="CF78" s="117">
        <f t="shared" si="72"/>
        <v>148</v>
      </c>
      <c r="CG78" s="118">
        <f t="shared" si="73"/>
        <v>179</v>
      </c>
      <c r="CH78" s="118" t="str">
        <f t="shared" si="74"/>
        <v>-</v>
      </c>
      <c r="CI78" s="118">
        <f t="shared" si="75"/>
        <v>220</v>
      </c>
      <c r="CJ78" s="118">
        <f t="shared" si="76"/>
        <v>228</v>
      </c>
      <c r="CK78" s="118">
        <f t="shared" si="77"/>
        <v>254</v>
      </c>
      <c r="CL78" s="118" t="str">
        <f t="shared" si="78"/>
        <v>-</v>
      </c>
      <c r="CM78" s="118">
        <f t="shared" si="79"/>
        <v>304</v>
      </c>
      <c r="CN78" s="118">
        <f t="shared" si="80"/>
        <v>369</v>
      </c>
      <c r="CO78" s="118">
        <f t="shared" si="81"/>
        <v>400</v>
      </c>
      <c r="CP78" s="118">
        <f t="shared" si="82"/>
        <v>411</v>
      </c>
      <c r="CQ78" s="57">
        <f t="shared" si="83"/>
        <v>2</v>
      </c>
    </row>
    <row r="79" spans="1:1026" x14ac:dyDescent="0.2">
      <c r="A79" s="3" t="str">
        <f t="shared" si="56"/>
        <v>cxcr4_human__wt</v>
      </c>
      <c r="B79" s="3" t="s">
        <v>1390</v>
      </c>
      <c r="C79" s="3" t="s">
        <v>293</v>
      </c>
      <c r="D79" s="3" t="str">
        <f>IFERROR(MID(VLOOKUP($B79,Seqs!$A:$B,2,0),E79,1),"")</f>
        <v>R</v>
      </c>
      <c r="E79" s="3">
        <v>30</v>
      </c>
      <c r="F79" s="3" t="str">
        <f>IFERROR(MID(VLOOKUP($B79,Seqs!$A:$B,2,0),G79,1),"")</f>
        <v>Q</v>
      </c>
      <c r="G79" s="3">
        <v>66</v>
      </c>
      <c r="H79" s="3" t="str">
        <f>IFERROR(MID(VLOOKUP($B79,Seqs!$A:$B,2,0),I79,1),"")</f>
        <v>K</v>
      </c>
      <c r="I79" s="57">
        <v>67</v>
      </c>
      <c r="J79" s="3" t="str">
        <f>IFERROR(MID(VLOOKUP($B79,Seqs!$A:$B,2,0),K79,1),"")</f>
        <v>R</v>
      </c>
      <c r="K79" s="57">
        <v>70</v>
      </c>
      <c r="L79" s="3" t="str">
        <f>IFERROR(MID(VLOOKUP($B79,Seqs!$A:$B,2,0),M79,1),"")</f>
        <v>S</v>
      </c>
      <c r="M79" s="3">
        <v>71</v>
      </c>
      <c r="N79" s="3" t="str">
        <f>IFERROR(MID(VLOOKUP($B79,Seqs!$A:$B,2,0),O79,1),"")</f>
        <v>A</v>
      </c>
      <c r="O79" s="3">
        <v>100</v>
      </c>
      <c r="P79" s="3" t="str">
        <f>IFERROR(MID(VLOOKUP($B79,Seqs!$A:$B,2,0),Q79,1),"")</f>
        <v>N</v>
      </c>
      <c r="Q79" s="3">
        <v>101</v>
      </c>
      <c r="R79" s="3" t="str">
        <f>IFERROR(MID(VLOOKUP($B79,Seqs!$A:$B,2,0),S79,1),"")</f>
        <v>F</v>
      </c>
      <c r="S79" s="3">
        <v>104</v>
      </c>
      <c r="T79" s="3" t="str">
        <f>IFERROR(MID(VLOOKUP($B79,Seqs!$A:$B,2,0),U79,1),"")</f>
        <v>G</v>
      </c>
      <c r="U79" s="3">
        <v>105</v>
      </c>
      <c r="V79" s="3" t="str">
        <f>IFERROR(MID(VLOOKUP($B79,Seqs!$A:$B,2,0),W79,1),"")</f>
        <v>H</v>
      </c>
      <c r="W79" s="3">
        <v>140</v>
      </c>
      <c r="X79" s="3" t="str">
        <f>IFERROR(MID(VLOOKUP($B79,Seqs!$A:$B,2,0),Y79,1),"")</f>
        <v>A</v>
      </c>
      <c r="Y79" s="3">
        <v>141</v>
      </c>
      <c r="Z79" s="3" t="str">
        <f>IFERROR(MID(VLOOKUP($B79,Seqs!$A:$B,2,0),AA79,1),"")</f>
        <v>R</v>
      </c>
      <c r="AA79" s="3">
        <v>148</v>
      </c>
      <c r="AB79" s="3" t="str">
        <f>IFERROR(MID(VLOOKUP($B79,Seqs!$A:$B,2,0),AC79,1),"")</f>
        <v>L</v>
      </c>
      <c r="AC79" s="3">
        <v>150</v>
      </c>
      <c r="AD79" s="3" t="str">
        <f>IFERROR(MID(VLOOKUP($B79,Seqs!$A:$B,2,0),AE79,1),"")</f>
        <v>A</v>
      </c>
      <c r="AE79" s="3">
        <v>175</v>
      </c>
      <c r="AF79" s="3" t="str">
        <f>IFERROR(MID(VLOOKUP($B79,Seqs!$A:$B,2,0),AG79,1),"")</f>
        <v>C</v>
      </c>
      <c r="AG79" s="3">
        <v>186</v>
      </c>
      <c r="AH79" s="3" t="str">
        <f>IFERROR(MID(VLOOKUP($B79,Seqs!$A:$B,2,0),AI79,1),"")</f>
        <v>R</v>
      </c>
      <c r="AI79" s="3">
        <v>188</v>
      </c>
      <c r="AJ79" s="3" t="str">
        <f>IFERROR(MID(VLOOKUP($B79,Seqs!$A:$B,2,0),AK79,1),"")</f>
        <v>D</v>
      </c>
      <c r="AK79" s="3">
        <v>193</v>
      </c>
      <c r="AL79" s="3" t="str">
        <f>IFERROR(MID(VLOOKUP($B79,Seqs!$A:$B,2,0),AM79,1),"")</f>
        <v>S</v>
      </c>
      <c r="AM79" s="3">
        <v>229</v>
      </c>
      <c r="AN79" s="3" t="str">
        <f>IFERROR(MID(VLOOKUP($B79,Seqs!$A:$B,2,0),AO79,1),"")</f>
        <v>K</v>
      </c>
      <c r="AO79" s="3">
        <v>234</v>
      </c>
      <c r="AP79" s="3" t="str">
        <f>IFERROR(MID(VLOOKUP($B79,Seqs!$A:$B,2,0),AQ79,1),"")</f>
        <v>E</v>
      </c>
      <c r="AQ79" s="3">
        <v>268</v>
      </c>
      <c r="AR79" s="3" t="str">
        <f>IFERROR(MID(VLOOKUP($B79,Seqs!$A:$B,2,0),AS79,1),"")</f>
        <v>G</v>
      </c>
      <c r="AS79" s="3">
        <v>273</v>
      </c>
      <c r="AT79" s="3" t="str">
        <f>IFERROR(MID(VLOOKUP($B79,Seqs!$A:$B,2,0),AU79,1),"")</f>
        <v>L</v>
      </c>
      <c r="AU79" s="3">
        <v>305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T</v>
      </c>
      <c r="AY79" s="3">
        <v>318</v>
      </c>
      <c r="BA79" s="124" t="str">
        <f>VLOOKUP(B79,Classification!A:D,2,0)</f>
        <v>A</v>
      </c>
      <c r="BC79" s="1"/>
      <c r="BD79" s="101">
        <f>S79-Q79+1</f>
        <v>4</v>
      </c>
      <c r="BE79" s="57">
        <f t="shared" si="57"/>
        <v>266</v>
      </c>
      <c r="BF79" s="63" t="b">
        <f t="shared" si="58"/>
        <v>1</v>
      </c>
      <c r="BG79" s="116" t="s">
        <v>1513</v>
      </c>
      <c r="BH79" s="102" t="s">
        <v>1513</v>
      </c>
      <c r="BI79" s="102" t="s">
        <v>1513</v>
      </c>
      <c r="BJ79" s="102" t="s">
        <v>1513</v>
      </c>
      <c r="BK79" s="102" t="s">
        <v>1513</v>
      </c>
      <c r="BL79" s="102" t="s">
        <v>1513</v>
      </c>
      <c r="BM79" s="102" t="s">
        <v>1513</v>
      </c>
      <c r="BN79" s="102" t="s">
        <v>1513</v>
      </c>
      <c r="BO79" s="102" t="s">
        <v>1513</v>
      </c>
      <c r="BP79" s="102" t="s">
        <v>1513</v>
      </c>
      <c r="BQ79" s="102" t="s">
        <v>1513</v>
      </c>
      <c r="BR79" s="102" t="s">
        <v>1513</v>
      </c>
      <c r="BS79" s="116">
        <f t="shared" si="59"/>
        <v>30</v>
      </c>
      <c r="BT79" s="117">
        <f t="shared" si="60"/>
        <v>67</v>
      </c>
      <c r="BU79" s="118">
        <f t="shared" si="61"/>
        <v>71</v>
      </c>
      <c r="BV79" s="117">
        <f t="shared" si="62"/>
        <v>101</v>
      </c>
      <c r="BW79" s="118">
        <f t="shared" si="63"/>
        <v>105</v>
      </c>
      <c r="BX79" s="117">
        <f t="shared" si="64"/>
        <v>141</v>
      </c>
      <c r="BY79" s="118">
        <f t="shared" si="65"/>
        <v>150</v>
      </c>
      <c r="BZ79" s="117">
        <f t="shared" si="66"/>
        <v>186</v>
      </c>
      <c r="CA79" s="118">
        <f t="shared" si="67"/>
        <v>193</v>
      </c>
      <c r="CB79" s="117">
        <f t="shared" si="68"/>
        <v>234</v>
      </c>
      <c r="CC79" s="118">
        <f t="shared" si="69"/>
        <v>273</v>
      </c>
      <c r="CD79" s="117">
        <f t="shared" si="70"/>
        <v>306</v>
      </c>
      <c r="CE79" s="116">
        <f t="shared" si="71"/>
        <v>66</v>
      </c>
      <c r="CF79" s="117">
        <f t="shared" si="72"/>
        <v>70</v>
      </c>
      <c r="CG79" s="118">
        <f t="shared" si="73"/>
        <v>100</v>
      </c>
      <c r="CH79" s="118">
        <f t="shared" si="74"/>
        <v>104</v>
      </c>
      <c r="CI79" s="118">
        <f t="shared" si="75"/>
        <v>140</v>
      </c>
      <c r="CJ79" s="118">
        <f t="shared" si="76"/>
        <v>148</v>
      </c>
      <c r="CK79" s="118">
        <f t="shared" si="77"/>
        <v>175</v>
      </c>
      <c r="CL79" s="118">
        <f t="shared" si="78"/>
        <v>188</v>
      </c>
      <c r="CM79" s="118">
        <f t="shared" si="79"/>
        <v>229</v>
      </c>
      <c r="CN79" s="118">
        <f t="shared" si="80"/>
        <v>268</v>
      </c>
      <c r="CO79" s="118">
        <f t="shared" si="81"/>
        <v>305</v>
      </c>
      <c r="CP79" s="118">
        <f t="shared" si="82"/>
        <v>318</v>
      </c>
      <c r="CQ79" s="57">
        <f t="shared" si="83"/>
        <v>1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</row>
    <row r="80" spans="1:1026" x14ac:dyDescent="0.2">
      <c r="A80" s="3" t="str">
        <f t="shared" si="56"/>
        <v>cxcr4_human_3ODU</v>
      </c>
      <c r="B80" s="3" t="s">
        <v>1390</v>
      </c>
      <c r="C80" s="3" t="s">
        <v>253</v>
      </c>
      <c r="D80" s="3" t="str">
        <f>IFERROR(MID(VLOOKUP($B80,Seqs!$A:$B,2,0),E80,1),"")</f>
        <v>A</v>
      </c>
      <c r="E80" s="3">
        <v>34</v>
      </c>
      <c r="F80" s="3" t="str">
        <f>IFERROR(MID(VLOOKUP($B80,Seqs!$A:$B,2,0),G80,1),"")</f>
        <v>Q</v>
      </c>
      <c r="G80" s="3">
        <v>66</v>
      </c>
      <c r="H80" s="3" t="str">
        <f>IFERROR(MID(VLOOKUP($B80,Seqs!$A:$B,2,0),I80,1),"")</f>
        <v/>
      </c>
      <c r="I80" s="57" t="s">
        <v>129</v>
      </c>
      <c r="J80" s="3" t="str">
        <f>IFERROR(MID(VLOOKUP($B80,Seqs!$A:$B,2,0),K80,1),"")</f>
        <v/>
      </c>
      <c r="K80" s="57" t="s">
        <v>129</v>
      </c>
      <c r="L80" s="3" t="str">
        <f>IFERROR(MID(VLOOKUP($B80,Seqs!$A:$B,2,0),M80,1),"")</f>
        <v>S</v>
      </c>
      <c r="M80" s="3">
        <v>71</v>
      </c>
      <c r="N80" s="3" t="str">
        <f>IFERROR(MID(VLOOKUP($B80,Seqs!$A:$B,2,0),O80,1),"")</f>
        <v>A</v>
      </c>
      <c r="O80" s="3">
        <v>100</v>
      </c>
      <c r="P80" s="3" t="str">
        <f>IFERROR(MID(VLOOKUP($B80,Seqs!$A:$B,2,0),Q80,1),"")</f>
        <v>N</v>
      </c>
      <c r="Q80" s="3">
        <v>101</v>
      </c>
      <c r="R80" s="3" t="str">
        <f>IFERROR(MID(VLOOKUP($B80,Seqs!$A:$B,2,0),S80,1),"")</f>
        <v>F</v>
      </c>
      <c r="S80" s="3">
        <v>104</v>
      </c>
      <c r="T80" s="3" t="str">
        <f>IFERROR(MID(VLOOKUP($B80,Seqs!$A:$B,2,0),U80,1),"")</f>
        <v>G</v>
      </c>
      <c r="U80" s="3">
        <v>105</v>
      </c>
      <c r="V80" s="3" t="str">
        <f>IFERROR(MID(VLOOKUP($B80,Seqs!$A:$B,2,0),W80,1),"")</f>
        <v>H</v>
      </c>
      <c r="W80" s="3">
        <v>140</v>
      </c>
      <c r="X80" s="3" t="str">
        <f>IFERROR(MID(VLOOKUP($B80,Seqs!$A:$B,2,0),Y80,1),"")</f>
        <v/>
      </c>
      <c r="Y80" s="3" t="s">
        <v>129</v>
      </c>
      <c r="Z80" s="3" t="str">
        <f>IFERROR(MID(VLOOKUP($B80,Seqs!$A:$B,2,0),AA80,1),"")</f>
        <v/>
      </c>
      <c r="AA80" s="3" t="s">
        <v>129</v>
      </c>
      <c r="AB80" s="3" t="str">
        <f>IFERROR(MID(VLOOKUP($B80,Seqs!$A:$B,2,0),AC80,1),"")</f>
        <v>K</v>
      </c>
      <c r="AC80" s="3">
        <v>154</v>
      </c>
      <c r="AD80" s="3" t="str">
        <f>IFERROR(MID(VLOOKUP($B80,Seqs!$A:$B,2,0),AE80,1),"")</f>
        <v>A</v>
      </c>
      <c r="AE80" s="3">
        <v>175</v>
      </c>
      <c r="AF80" s="3" t="str">
        <f>IFERROR(MID(VLOOKUP($B80,Seqs!$A:$B,2,0),AG80,1),"")</f>
        <v>C</v>
      </c>
      <c r="AG80" s="3">
        <v>186</v>
      </c>
      <c r="AH80" s="3" t="str">
        <f>IFERROR(MID(VLOOKUP($B80,Seqs!$A:$B,2,0),AI80,1),"")</f>
        <v>R</v>
      </c>
      <c r="AI80" s="3">
        <v>188</v>
      </c>
      <c r="AJ80" s="3" t="str">
        <f>IFERROR(MID(VLOOKUP($B80,Seqs!$A:$B,2,0),AK80,1),"")</f>
        <v>D</v>
      </c>
      <c r="AK80" s="3">
        <v>193</v>
      </c>
      <c r="AL80" s="3" t="str">
        <f>IFERROR(MID(VLOOKUP($B80,Seqs!$A:$B,2,0),AM80,1),"")</f>
        <v>K</v>
      </c>
      <c r="AM80" s="3">
        <v>225</v>
      </c>
      <c r="AN80" s="3" t="str">
        <f>IFERROR(MID(VLOOKUP($B80,Seqs!$A:$B,2,0),AO80,1),"")</f>
        <v>G</v>
      </c>
      <c r="AO80" s="3">
        <v>231</v>
      </c>
      <c r="AP80" s="3" t="str">
        <f>IFERROR(MID(VLOOKUP($B80,Seqs!$A:$B,2,0),AQ80,1),"")</f>
        <v>E</v>
      </c>
      <c r="AQ80" s="3">
        <v>268</v>
      </c>
      <c r="AR80" s="3" t="str">
        <f>IFERROR(MID(VLOOKUP($B80,Seqs!$A:$B,2,0),AS80,1),"")</f>
        <v>G</v>
      </c>
      <c r="AS80" s="3">
        <v>273</v>
      </c>
      <c r="AT80" s="3" t="str">
        <f>IFERROR(MID(VLOOKUP($B80,Seqs!$A:$B,2,0),AU80,1),"")</f>
        <v>I</v>
      </c>
      <c r="AU80" s="3">
        <v>300</v>
      </c>
      <c r="AV80" s="3" t="str">
        <f>IFERROR(MID(VLOOKUP($B80,Seqs!$A:$B,2,0),AW80,1),"")</f>
        <v/>
      </c>
      <c r="AW80" s="3" t="s">
        <v>129</v>
      </c>
      <c r="AX80" s="3" t="str">
        <f>IFERROR(MID(VLOOKUP($B80,Seqs!$A:$B,2,0),AY80,1),"")</f>
        <v/>
      </c>
      <c r="AY80" s="3" t="s">
        <v>129</v>
      </c>
      <c r="BA80" s="124" t="str">
        <f>VLOOKUP(B80,Classification!A:D,2,0)</f>
        <v>A</v>
      </c>
      <c r="BC80" s="1"/>
      <c r="BD80" s="2" t="s">
        <v>1314</v>
      </c>
      <c r="BE80" s="57">
        <f t="shared" si="57"/>
        <v>230</v>
      </c>
      <c r="BF80" s="63" t="b">
        <f t="shared" si="58"/>
        <v>1</v>
      </c>
      <c r="BG80" s="116" t="s">
        <v>1513</v>
      </c>
      <c r="BH80" s="102" t="s">
        <v>1513</v>
      </c>
      <c r="BI80" s="102" t="s">
        <v>1513</v>
      </c>
      <c r="BJ80" s="102" t="s">
        <v>1513</v>
      </c>
      <c r="BK80" s="102" t="s">
        <v>1513</v>
      </c>
      <c r="BL80" s="102" t="s">
        <v>1513</v>
      </c>
      <c r="BM80" s="102" t="s">
        <v>1513</v>
      </c>
      <c r="BN80" s="102" t="s">
        <v>1513</v>
      </c>
      <c r="BO80" s="102" t="s">
        <v>1513</v>
      </c>
      <c r="BP80" s="102" t="s">
        <v>1513</v>
      </c>
      <c r="BQ80" s="102" t="s">
        <v>1513</v>
      </c>
      <c r="BR80" s="102" t="s">
        <v>1513</v>
      </c>
      <c r="BS80" s="116">
        <f t="shared" si="59"/>
        <v>34</v>
      </c>
      <c r="BT80" s="117" t="str">
        <f t="shared" si="60"/>
        <v>-</v>
      </c>
      <c r="BU80" s="118">
        <f t="shared" si="61"/>
        <v>71</v>
      </c>
      <c r="BV80" s="117">
        <f t="shared" si="62"/>
        <v>101</v>
      </c>
      <c r="BW80" s="118">
        <f t="shared" si="63"/>
        <v>105</v>
      </c>
      <c r="BX80" s="117" t="str">
        <f t="shared" si="64"/>
        <v>-</v>
      </c>
      <c r="BY80" s="118">
        <f t="shared" si="65"/>
        <v>154</v>
      </c>
      <c r="BZ80" s="117">
        <f t="shared" si="66"/>
        <v>186</v>
      </c>
      <c r="CA80" s="118">
        <f t="shared" si="67"/>
        <v>193</v>
      </c>
      <c r="CB80" s="117">
        <f t="shared" si="68"/>
        <v>231</v>
      </c>
      <c r="CC80" s="118">
        <f t="shared" si="69"/>
        <v>273</v>
      </c>
      <c r="CD80" s="117" t="str">
        <f t="shared" si="70"/>
        <v>-</v>
      </c>
      <c r="CE80" s="116">
        <f t="shared" si="71"/>
        <v>66</v>
      </c>
      <c r="CF80" s="117" t="str">
        <f t="shared" si="72"/>
        <v>-</v>
      </c>
      <c r="CG80" s="118">
        <f t="shared" si="73"/>
        <v>100</v>
      </c>
      <c r="CH80" s="118">
        <f t="shared" si="74"/>
        <v>104</v>
      </c>
      <c r="CI80" s="118">
        <f t="shared" si="75"/>
        <v>140</v>
      </c>
      <c r="CJ80" s="118" t="str">
        <f t="shared" si="76"/>
        <v>-</v>
      </c>
      <c r="CK80" s="118">
        <f t="shared" si="77"/>
        <v>175</v>
      </c>
      <c r="CL80" s="118">
        <f t="shared" si="78"/>
        <v>188</v>
      </c>
      <c r="CM80" s="118">
        <f t="shared" si="79"/>
        <v>225</v>
      </c>
      <c r="CN80" s="118">
        <f t="shared" si="80"/>
        <v>268</v>
      </c>
      <c r="CO80" s="118">
        <f t="shared" si="81"/>
        <v>300</v>
      </c>
      <c r="CP80" s="118" t="str">
        <f t="shared" si="82"/>
        <v>-</v>
      </c>
      <c r="CQ80" s="57" t="e">
        <f t="shared" si="83"/>
        <v>#VALUE!</v>
      </c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</row>
    <row r="81" spans="1:1026" x14ac:dyDescent="0.2">
      <c r="A81" s="3" t="str">
        <f t="shared" si="56"/>
        <v>cxcr4_human_3OE0</v>
      </c>
      <c r="B81" s="3" t="s">
        <v>1390</v>
      </c>
      <c r="C81" s="3" t="s">
        <v>1237</v>
      </c>
      <c r="D81" s="3" t="str">
        <f>IFERROR(MID(VLOOKUP($B81,Seqs!$A:$B,2,0),E81,1),"")</f>
        <v>A</v>
      </c>
      <c r="E81" s="3">
        <v>34</v>
      </c>
      <c r="F81" s="3" t="str">
        <f>IFERROR(MID(VLOOKUP($B81,Seqs!$A:$B,2,0),G81,1),"")</f>
        <v>Q</v>
      </c>
      <c r="G81" s="3">
        <v>66</v>
      </c>
      <c r="H81" s="3" t="str">
        <f>IFERROR(MID(VLOOKUP($B81,Seqs!$A:$B,2,0),I81,1),"")</f>
        <v/>
      </c>
      <c r="I81" s="57" t="s">
        <v>129</v>
      </c>
      <c r="J81" s="3" t="str">
        <f>IFERROR(MID(VLOOKUP($B81,Seqs!$A:$B,2,0),K81,1),"")</f>
        <v/>
      </c>
      <c r="K81" s="57" t="s">
        <v>129</v>
      </c>
      <c r="L81" s="3" t="str">
        <f>IFERROR(MID(VLOOKUP($B81,Seqs!$A:$B,2,0),M81,1),"")</f>
        <v>S</v>
      </c>
      <c r="M81" s="3">
        <v>71</v>
      </c>
      <c r="N81" s="3" t="str">
        <f>IFERROR(MID(VLOOKUP($B81,Seqs!$A:$B,2,0),O81,1),"")</f>
        <v>A</v>
      </c>
      <c r="O81" s="3">
        <v>100</v>
      </c>
      <c r="P81" s="3" t="str">
        <f>IFERROR(MID(VLOOKUP($B81,Seqs!$A:$B,2,0),Q81,1),"")</f>
        <v>N</v>
      </c>
      <c r="Q81" s="3">
        <v>101</v>
      </c>
      <c r="R81" s="3" t="str">
        <f>IFERROR(MID(VLOOKUP($B81,Seqs!$A:$B,2,0),S81,1),"")</f>
        <v>F</v>
      </c>
      <c r="S81" s="3">
        <v>104</v>
      </c>
      <c r="T81" s="3" t="str">
        <f>IFERROR(MID(VLOOKUP($B81,Seqs!$A:$B,2,0),U81,1),"")</f>
        <v>G</v>
      </c>
      <c r="U81" s="3">
        <v>105</v>
      </c>
      <c r="V81" s="3" t="str">
        <f>IFERROR(MID(VLOOKUP($B81,Seqs!$A:$B,2,0),W81,1),"")</f>
        <v>H</v>
      </c>
      <c r="W81" s="3">
        <v>140</v>
      </c>
      <c r="X81" s="3" t="str">
        <f>IFERROR(MID(VLOOKUP($B81,Seqs!$A:$B,2,0),Y81,1),"")</f>
        <v/>
      </c>
      <c r="Y81" s="3" t="s">
        <v>129</v>
      </c>
      <c r="Z81" s="3" t="str">
        <f>IFERROR(MID(VLOOKUP($B81,Seqs!$A:$B,2,0),AA81,1),"")</f>
        <v/>
      </c>
      <c r="AA81" s="3" t="s">
        <v>129</v>
      </c>
      <c r="AB81" s="3" t="str">
        <f>IFERROR(MID(VLOOKUP($B81,Seqs!$A:$B,2,0),AC81,1),"")</f>
        <v>K</v>
      </c>
      <c r="AC81" s="3">
        <v>154</v>
      </c>
      <c r="AD81" s="3" t="str">
        <f>IFERROR(MID(VLOOKUP($B81,Seqs!$A:$B,2,0),AE81,1),"")</f>
        <v>A</v>
      </c>
      <c r="AE81" s="3">
        <v>175</v>
      </c>
      <c r="AF81" s="3" t="str">
        <f>IFERROR(MID(VLOOKUP($B81,Seqs!$A:$B,2,0),AG81,1),"")</f>
        <v>C</v>
      </c>
      <c r="AG81" s="3">
        <v>186</v>
      </c>
      <c r="AH81" s="3" t="str">
        <f>IFERROR(MID(VLOOKUP($B81,Seqs!$A:$B,2,0),AI81,1),"")</f>
        <v>R</v>
      </c>
      <c r="AI81" s="3">
        <v>188</v>
      </c>
      <c r="AJ81" s="3" t="str">
        <f>IFERROR(MID(VLOOKUP($B81,Seqs!$A:$B,2,0),AK81,1),"")</f>
        <v>D</v>
      </c>
      <c r="AK81" s="3">
        <v>193</v>
      </c>
      <c r="AL81" s="3" t="str">
        <f>IFERROR(MID(VLOOKUP($B81,Seqs!$A:$B,2,0),AM81,1),"")</f>
        <v>H</v>
      </c>
      <c r="AM81" s="3">
        <v>228</v>
      </c>
      <c r="AN81" s="3" t="str">
        <f>IFERROR(MID(VLOOKUP($B81,Seqs!$A:$B,2,0),AO81,1),"")</f>
        <v>K</v>
      </c>
      <c r="AO81" s="3">
        <v>239</v>
      </c>
      <c r="AP81" s="3" t="str">
        <f>IFERROR(MID(VLOOKUP($B81,Seqs!$A:$B,2,0),AQ81,1),"")</f>
        <v>E</v>
      </c>
      <c r="AQ81" s="3">
        <v>268</v>
      </c>
      <c r="AR81" s="3" t="str">
        <f>IFERROR(MID(VLOOKUP($B81,Seqs!$A:$B,2,0),AS81,1),"")</f>
        <v>G</v>
      </c>
      <c r="AS81" s="3">
        <v>273</v>
      </c>
      <c r="AT81" s="3" t="str">
        <f>IFERROR(MID(VLOOKUP($B81,Seqs!$A:$B,2,0),AU81,1),"")</f>
        <v>I</v>
      </c>
      <c r="AU81" s="3">
        <v>300</v>
      </c>
      <c r="AV81" s="3" t="str">
        <f>IFERROR(MID(VLOOKUP($B81,Seqs!$A:$B,2,0),AW81,1),"")</f>
        <v/>
      </c>
      <c r="AW81" s="3" t="s">
        <v>129</v>
      </c>
      <c r="AX81" s="3" t="str">
        <f>IFERROR(MID(VLOOKUP($B81,Seqs!$A:$B,2,0),AY81,1),"")</f>
        <v/>
      </c>
      <c r="AY81" s="3" t="s">
        <v>129</v>
      </c>
      <c r="BA81" s="124" t="str">
        <f>VLOOKUP(B81,Classification!A:D,2,0)</f>
        <v>A</v>
      </c>
      <c r="BC81" s="1"/>
      <c r="BD81" s="5"/>
      <c r="BE81" s="57">
        <f t="shared" si="57"/>
        <v>225</v>
      </c>
      <c r="BF81" s="63" t="b">
        <f t="shared" si="58"/>
        <v>1</v>
      </c>
      <c r="BG81" s="116" t="s">
        <v>1513</v>
      </c>
      <c r="BH81" s="102" t="s">
        <v>1513</v>
      </c>
      <c r="BI81" s="102" t="s">
        <v>1513</v>
      </c>
      <c r="BJ81" s="102" t="s">
        <v>1513</v>
      </c>
      <c r="BK81" s="102" t="s">
        <v>1513</v>
      </c>
      <c r="BL81" s="102" t="s">
        <v>1513</v>
      </c>
      <c r="BM81" s="102" t="s">
        <v>1513</v>
      </c>
      <c r="BN81" s="102" t="s">
        <v>1513</v>
      </c>
      <c r="BO81" s="102" t="s">
        <v>1513</v>
      </c>
      <c r="BP81" s="102" t="s">
        <v>1513</v>
      </c>
      <c r="BQ81" s="102" t="s">
        <v>1513</v>
      </c>
      <c r="BR81" s="102" t="s">
        <v>1513</v>
      </c>
      <c r="BS81" s="116">
        <f t="shared" si="59"/>
        <v>34</v>
      </c>
      <c r="BT81" s="117" t="str">
        <f t="shared" si="60"/>
        <v>-</v>
      </c>
      <c r="BU81" s="118">
        <f t="shared" si="61"/>
        <v>71</v>
      </c>
      <c r="BV81" s="117">
        <f t="shared" si="62"/>
        <v>101</v>
      </c>
      <c r="BW81" s="118">
        <f t="shared" si="63"/>
        <v>105</v>
      </c>
      <c r="BX81" s="117" t="str">
        <f t="shared" si="64"/>
        <v>-</v>
      </c>
      <c r="BY81" s="118">
        <f t="shared" si="65"/>
        <v>154</v>
      </c>
      <c r="BZ81" s="117">
        <f t="shared" si="66"/>
        <v>186</v>
      </c>
      <c r="CA81" s="118">
        <f t="shared" si="67"/>
        <v>193</v>
      </c>
      <c r="CB81" s="117">
        <f t="shared" si="68"/>
        <v>239</v>
      </c>
      <c r="CC81" s="118">
        <f t="shared" si="69"/>
        <v>273</v>
      </c>
      <c r="CD81" s="117" t="str">
        <f t="shared" si="70"/>
        <v>-</v>
      </c>
      <c r="CE81" s="116">
        <f t="shared" si="71"/>
        <v>66</v>
      </c>
      <c r="CF81" s="117" t="str">
        <f t="shared" si="72"/>
        <v>-</v>
      </c>
      <c r="CG81" s="118">
        <f t="shared" si="73"/>
        <v>100</v>
      </c>
      <c r="CH81" s="118">
        <f t="shared" si="74"/>
        <v>104</v>
      </c>
      <c r="CI81" s="118">
        <f t="shared" si="75"/>
        <v>140</v>
      </c>
      <c r="CJ81" s="118" t="str">
        <f t="shared" si="76"/>
        <v>-</v>
      </c>
      <c r="CK81" s="118">
        <f t="shared" si="77"/>
        <v>175</v>
      </c>
      <c r="CL81" s="118">
        <f t="shared" si="78"/>
        <v>188</v>
      </c>
      <c r="CM81" s="118">
        <f t="shared" si="79"/>
        <v>228</v>
      </c>
      <c r="CN81" s="118">
        <f t="shared" si="80"/>
        <v>268</v>
      </c>
      <c r="CO81" s="118">
        <f t="shared" si="81"/>
        <v>300</v>
      </c>
      <c r="CP81" s="118" t="str">
        <f t="shared" si="82"/>
        <v>-</v>
      </c>
      <c r="CQ81" s="57" t="e">
        <f t="shared" si="83"/>
        <v>#VALUE!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</row>
    <row r="82" spans="1:1026" x14ac:dyDescent="0.2">
      <c r="A82" s="3" t="str">
        <f t="shared" si="56"/>
        <v>cxcr4_human_4RWS</v>
      </c>
      <c r="B82" s="3" t="s">
        <v>1390</v>
      </c>
      <c r="C82" s="3" t="s">
        <v>1258</v>
      </c>
      <c r="D82" s="3" t="str">
        <f>IFERROR(MID(VLOOKUP($B82,Seqs!$A:$B,2,0),E82,1),"")</f>
        <v>R</v>
      </c>
      <c r="E82" s="3">
        <v>30</v>
      </c>
      <c r="F82" s="3" t="str">
        <f>IFERROR(MID(VLOOKUP($B82,Seqs!$A:$B,2,0),G82,1),"")</f>
        <v>Q</v>
      </c>
      <c r="G82" s="3">
        <v>66</v>
      </c>
      <c r="H82" s="3" t="str">
        <f>IFERROR(MID(VLOOKUP($B82,Seqs!$A:$B,2,0),I82,1),"")</f>
        <v/>
      </c>
      <c r="I82" s="57" t="s">
        <v>129</v>
      </c>
      <c r="J82" s="3" t="str">
        <f>IFERROR(MID(VLOOKUP($B82,Seqs!$A:$B,2,0),K82,1),"")</f>
        <v/>
      </c>
      <c r="K82" s="57" t="s">
        <v>129</v>
      </c>
      <c r="L82" s="3" t="str">
        <f>IFERROR(MID(VLOOKUP($B82,Seqs!$A:$B,2,0),M82,1),"")</f>
        <v>S</v>
      </c>
      <c r="M82" s="3">
        <v>71</v>
      </c>
      <c r="N82" s="3" t="str">
        <f>IFERROR(MID(VLOOKUP($B82,Seqs!$A:$B,2,0),O82,1),"")</f>
        <v>A</v>
      </c>
      <c r="O82" s="3">
        <v>100</v>
      </c>
      <c r="P82" s="3" t="str">
        <f>IFERROR(MID(VLOOKUP($B82,Seqs!$A:$B,2,0),Q82,1),"")</f>
        <v>N</v>
      </c>
      <c r="Q82" s="3">
        <v>101</v>
      </c>
      <c r="R82" s="3" t="str">
        <f>IFERROR(MID(VLOOKUP($B82,Seqs!$A:$B,2,0),S82,1),"")</f>
        <v>F</v>
      </c>
      <c r="S82" s="3">
        <v>104</v>
      </c>
      <c r="T82" s="3" t="str">
        <f>IFERROR(MID(VLOOKUP($B82,Seqs!$A:$B,2,0),U82,1),"")</f>
        <v>G</v>
      </c>
      <c r="U82" s="3">
        <v>105</v>
      </c>
      <c r="V82" s="3" t="str">
        <f>IFERROR(MID(VLOOKUP($B82,Seqs!$A:$B,2,0),W82,1),"")</f>
        <v>H</v>
      </c>
      <c r="W82" s="3">
        <v>140</v>
      </c>
      <c r="X82" s="3" t="str">
        <f>IFERROR(MID(VLOOKUP($B82,Seqs!$A:$B,2,0),Y82,1),"")</f>
        <v/>
      </c>
      <c r="Y82" s="3" t="s">
        <v>129</v>
      </c>
      <c r="Z82" s="3" t="str">
        <f>IFERROR(MID(VLOOKUP($B82,Seqs!$A:$B,2,0),AA82,1),"")</f>
        <v/>
      </c>
      <c r="AA82" s="3" t="s">
        <v>129</v>
      </c>
      <c r="AB82" s="3" t="str">
        <f>IFERROR(MID(VLOOKUP($B82,Seqs!$A:$B,2,0),AC82,1),"")</f>
        <v>K</v>
      </c>
      <c r="AC82" s="3">
        <v>154</v>
      </c>
      <c r="AD82" s="3" t="str">
        <f>IFERROR(MID(VLOOKUP($B82,Seqs!$A:$B,2,0),AE82,1),"")</f>
        <v>A</v>
      </c>
      <c r="AE82" s="3">
        <v>175</v>
      </c>
      <c r="AF82" s="3" t="str">
        <f>IFERROR(MID(VLOOKUP($B82,Seqs!$A:$B,2,0),AG82,1),"")</f>
        <v>C</v>
      </c>
      <c r="AG82" s="3">
        <v>186</v>
      </c>
      <c r="AH82" s="3" t="str">
        <f>IFERROR(MID(VLOOKUP($B82,Seqs!$A:$B,2,0),AI82,1),"")</f>
        <v>R</v>
      </c>
      <c r="AI82" s="3">
        <v>188</v>
      </c>
      <c r="AJ82" s="3" t="str">
        <f>IFERROR(MID(VLOOKUP($B82,Seqs!$A:$B,2,0),AK82,1),"")</f>
        <v>D</v>
      </c>
      <c r="AK82" s="3">
        <v>193</v>
      </c>
      <c r="AL82" s="3" t="str">
        <f>IFERROR(MID(VLOOKUP($B82,Seqs!$A:$B,2,0),AM82,1),"")</f>
        <v>S</v>
      </c>
      <c r="AM82" s="3">
        <v>227</v>
      </c>
      <c r="AN82" s="3" t="str">
        <f>IFERROR(MID(VLOOKUP($B82,Seqs!$A:$B,2,0),AO82,1),"")</f>
        <v>K</v>
      </c>
      <c r="AO82" s="3">
        <v>239</v>
      </c>
      <c r="AP82" s="3" t="str">
        <f>IFERROR(MID(VLOOKUP($B82,Seqs!$A:$B,2,0),AQ82,1),"")</f>
        <v>E</v>
      </c>
      <c r="AQ82" s="3">
        <v>268</v>
      </c>
      <c r="AR82" s="3" t="str">
        <f>IFERROR(MID(VLOOKUP($B82,Seqs!$A:$B,2,0),AS82,1),"")</f>
        <v>G</v>
      </c>
      <c r="AS82" s="3">
        <v>273</v>
      </c>
      <c r="AT82" s="3" t="str">
        <f>IFERROR(MID(VLOOKUP($B82,Seqs!$A:$B,2,0),AU82,1),"")</f>
        <v>I</v>
      </c>
      <c r="AU82" s="3">
        <v>300</v>
      </c>
      <c r="AV82" s="3" t="str">
        <f>IFERROR(MID(VLOOKUP($B82,Seqs!$A:$B,2,0),AW82,1),"")</f>
        <v/>
      </c>
      <c r="AW82" s="3" t="s">
        <v>129</v>
      </c>
      <c r="AX82" s="3" t="str">
        <f>IFERROR(MID(VLOOKUP($B82,Seqs!$A:$B,2,0),AY82,1),"")</f>
        <v/>
      </c>
      <c r="AY82" s="3" t="s">
        <v>129</v>
      </c>
      <c r="BA82" s="124" t="str">
        <f>VLOOKUP(B82,Classification!A:D,2,0)</f>
        <v>A</v>
      </c>
      <c r="BC82" s="1"/>
      <c r="BD82" s="4"/>
      <c r="BE82" s="57">
        <f t="shared" si="57"/>
        <v>228</v>
      </c>
      <c r="BF82" s="63" t="b">
        <f t="shared" si="58"/>
        <v>1</v>
      </c>
      <c r="BG82" s="116" t="s">
        <v>1513</v>
      </c>
      <c r="BH82" s="102" t="s">
        <v>1513</v>
      </c>
      <c r="BI82" s="102" t="s">
        <v>1513</v>
      </c>
      <c r="BJ82" s="102" t="s">
        <v>1513</v>
      </c>
      <c r="BK82" s="102" t="s">
        <v>1513</v>
      </c>
      <c r="BL82" s="102" t="s">
        <v>1513</v>
      </c>
      <c r="BM82" s="102" t="s">
        <v>1513</v>
      </c>
      <c r="BN82" s="102" t="s">
        <v>1513</v>
      </c>
      <c r="BO82" s="102" t="s">
        <v>1513</v>
      </c>
      <c r="BP82" s="102" t="s">
        <v>1513</v>
      </c>
      <c r="BQ82" s="102" t="s">
        <v>1513</v>
      </c>
      <c r="BR82" s="102" t="s">
        <v>1513</v>
      </c>
      <c r="BS82" s="116">
        <f t="shared" si="59"/>
        <v>30</v>
      </c>
      <c r="BT82" s="117" t="str">
        <f t="shared" si="60"/>
        <v>-</v>
      </c>
      <c r="BU82" s="118">
        <f t="shared" si="61"/>
        <v>71</v>
      </c>
      <c r="BV82" s="117">
        <f t="shared" si="62"/>
        <v>101</v>
      </c>
      <c r="BW82" s="118">
        <f t="shared" si="63"/>
        <v>105</v>
      </c>
      <c r="BX82" s="117" t="str">
        <f t="shared" si="64"/>
        <v>-</v>
      </c>
      <c r="BY82" s="118">
        <f t="shared" si="65"/>
        <v>154</v>
      </c>
      <c r="BZ82" s="117">
        <f t="shared" si="66"/>
        <v>186</v>
      </c>
      <c r="CA82" s="118">
        <f t="shared" si="67"/>
        <v>193</v>
      </c>
      <c r="CB82" s="117">
        <f t="shared" si="68"/>
        <v>239</v>
      </c>
      <c r="CC82" s="118">
        <f t="shared" si="69"/>
        <v>273</v>
      </c>
      <c r="CD82" s="117" t="str">
        <f t="shared" si="70"/>
        <v>-</v>
      </c>
      <c r="CE82" s="116">
        <f t="shared" si="71"/>
        <v>66</v>
      </c>
      <c r="CF82" s="117" t="str">
        <f t="shared" si="72"/>
        <v>-</v>
      </c>
      <c r="CG82" s="118">
        <f t="shared" si="73"/>
        <v>100</v>
      </c>
      <c r="CH82" s="118">
        <f t="shared" si="74"/>
        <v>104</v>
      </c>
      <c r="CI82" s="118">
        <f t="shared" si="75"/>
        <v>140</v>
      </c>
      <c r="CJ82" s="118" t="str">
        <f t="shared" si="76"/>
        <v>-</v>
      </c>
      <c r="CK82" s="118">
        <f t="shared" si="77"/>
        <v>175</v>
      </c>
      <c r="CL82" s="118">
        <f t="shared" si="78"/>
        <v>188</v>
      </c>
      <c r="CM82" s="118">
        <f t="shared" si="79"/>
        <v>227</v>
      </c>
      <c r="CN82" s="118">
        <f t="shared" si="80"/>
        <v>268</v>
      </c>
      <c r="CO82" s="118">
        <f t="shared" si="81"/>
        <v>300</v>
      </c>
      <c r="CP82" s="118" t="str">
        <f t="shared" si="82"/>
        <v>-</v>
      </c>
      <c r="CQ82" s="57" t="e">
        <f t="shared" si="83"/>
        <v>#VALUE!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</row>
    <row r="83" spans="1:1026" s="3" customFormat="1" x14ac:dyDescent="0.2">
      <c r="A83" s="3" t="str">
        <f t="shared" si="56"/>
        <v>drd3_human__wt</v>
      </c>
      <c r="B83" s="3" t="s">
        <v>385</v>
      </c>
      <c r="C83" s="3" t="s">
        <v>293</v>
      </c>
      <c r="D83" s="3" t="str">
        <f>IFERROR(MID(VLOOKUP($B83,Seqs!$A:$B,2,0),E83,1),"")</f>
        <v>A</v>
      </c>
      <c r="E83" s="3">
        <v>26</v>
      </c>
      <c r="F83" s="3" t="str">
        <f>IFERROR(MID(VLOOKUP($B83,Seqs!$A:$B,2,0),G83,1),"")</f>
        <v>E</v>
      </c>
      <c r="G83" s="3">
        <v>57</v>
      </c>
      <c r="H83" s="3" t="str">
        <f>IFERROR(MID(VLOOKUP($B83,Seqs!$A:$B,2,0),I83,1),"")</f>
        <v>R</v>
      </c>
      <c r="I83" s="57">
        <v>58</v>
      </c>
      <c r="J83" s="3" t="str">
        <f>IFERROR(MID(VLOOKUP($B83,Seqs!$A:$B,2,0),K83,1),"")</f>
        <v>Q</v>
      </c>
      <c r="K83" s="57">
        <v>61</v>
      </c>
      <c r="L83" s="3" t="str">
        <f>IFERROR(MID(VLOOKUP($B83,Seqs!$A:$B,2,0),M83,1),"")</f>
        <v>T</v>
      </c>
      <c r="M83" s="3">
        <v>62</v>
      </c>
      <c r="N83" s="3" t="str">
        <f>IFERROR(MID(VLOOKUP($B83,Seqs!$A:$B,2,0),O83,1),"")</f>
        <v>T</v>
      </c>
      <c r="O83" s="3">
        <v>92</v>
      </c>
      <c r="P83" s="3" t="str">
        <f>IFERROR(MID(VLOOKUP($B83,Seqs!$A:$B,2,0),Q83,1),"")</f>
        <v>V</v>
      </c>
      <c r="Q83" s="3">
        <v>95</v>
      </c>
      <c r="R83" s="3" t="str">
        <f>IFERROR(MID(VLOOKUP($B83,Seqs!$A:$B,2,0),S83,1),"")</f>
        <v>F</v>
      </c>
      <c r="S83" s="3">
        <v>98</v>
      </c>
      <c r="T83" s="3" t="str">
        <f>IFERROR(MID(VLOOKUP($B83,Seqs!$A:$B,2,0),U83,1),"")</f>
        <v>S</v>
      </c>
      <c r="U83" s="3">
        <v>99</v>
      </c>
      <c r="V83" s="3" t="str">
        <f>IFERROR(MID(VLOOKUP($B83,Seqs!$A:$B,2,0),W83,1),"")</f>
        <v>M</v>
      </c>
      <c r="W83" s="3">
        <v>134</v>
      </c>
      <c r="X83" s="3" t="str">
        <f>IFERROR(MID(VLOOKUP($B83,Seqs!$A:$B,2,0),Y83,1),"")</f>
        <v>P</v>
      </c>
      <c r="Y83" s="3">
        <v>135</v>
      </c>
      <c r="Z83" s="3" t="str">
        <f>IFERROR(MID(VLOOKUP($B83,Seqs!$A:$B,2,0),AA83,1),"")</f>
        <v>G</v>
      </c>
      <c r="AA83" s="3">
        <v>143</v>
      </c>
      <c r="AB83" s="3" t="str">
        <f>IFERROR(MID(VLOOKUP($B83,Seqs!$A:$B,2,0),AC83,1),"")</f>
        <v>S</v>
      </c>
      <c r="AC83" s="3">
        <v>146</v>
      </c>
      <c r="AD83" s="3" t="str">
        <f>IFERROR(MID(VLOOKUP($B83,Seqs!$A:$B,2,0),AE83,1),"")</f>
        <v>G</v>
      </c>
      <c r="AE83" s="3">
        <v>171</v>
      </c>
      <c r="AF83" s="3" t="str">
        <f>IFERROR(MID(VLOOKUP($B83,Seqs!$A:$B,2,0),AG83,1),"")</f>
        <v>C</v>
      </c>
      <c r="AG83" s="3">
        <v>181</v>
      </c>
      <c r="AH83" s="3" t="str">
        <f>IFERROR(MID(VLOOKUP($B83,Seqs!$A:$B,2,0),AI83,1),"")</f>
        <v>I</v>
      </c>
      <c r="AI83" s="3">
        <v>183</v>
      </c>
      <c r="AJ83" s="3" t="str">
        <f>IFERROR(MID(VLOOKUP($B83,Seqs!$A:$B,2,0),AK83,1),"")</f>
        <v>N</v>
      </c>
      <c r="AK83" s="3">
        <v>185</v>
      </c>
      <c r="AL83" s="3" t="str">
        <f>IFERROR(MID(VLOOKUP($B83,Seqs!$A:$B,2,0),AM83,1),"")</f>
        <v>R</v>
      </c>
      <c r="AM83" s="3">
        <v>226</v>
      </c>
      <c r="AN83" s="3" t="str">
        <f>IFERROR(MID(VLOOKUP($B83,Seqs!$A:$B,2,0),AO83,1),"")</f>
        <v>R</v>
      </c>
      <c r="AO83" s="3">
        <v>318</v>
      </c>
      <c r="AP83" s="3" t="str">
        <f>IFERROR(MID(VLOOKUP($B83,Seqs!$A:$B,2,0),AQ83,1),"")</f>
        <v>H</v>
      </c>
      <c r="AQ83" s="3">
        <v>354</v>
      </c>
      <c r="AR83" s="3" t="str">
        <f>IFERROR(MID(VLOOKUP($B83,Seqs!$A:$B,2,0),AS83,1),"")</f>
        <v>S</v>
      </c>
      <c r="AS83" s="3">
        <v>361</v>
      </c>
      <c r="AT83" s="3" t="str">
        <f>IFERROR(MID(VLOOKUP($B83,Seqs!$A:$B,2,0),AU83,1),"")</f>
        <v>F</v>
      </c>
      <c r="AU83" s="3">
        <v>386</v>
      </c>
      <c r="AV83" s="3" t="str">
        <f>IFERROR(MID(VLOOKUP($B83,Seqs!$A:$B,2,0),AW83,1),"")</f>
        <v>N</v>
      </c>
      <c r="AW83" s="3">
        <v>387</v>
      </c>
      <c r="AX83" s="3" t="str">
        <f>IFERROR(MID(VLOOKUP($B83,Seqs!$A:$B,2,0),AY83,1),"")</f>
        <v>S</v>
      </c>
      <c r="AY83" s="3">
        <v>399</v>
      </c>
      <c r="AZ83" s="90"/>
      <c r="BA83" s="124" t="str">
        <f>VLOOKUP(B83,Classification!A:D,2,0)</f>
        <v>A</v>
      </c>
      <c r="BB83" s="90"/>
      <c r="BC83" s="1"/>
      <c r="BD83" s="72">
        <f>S83-Q83+1</f>
        <v>4</v>
      </c>
      <c r="BE83" s="57">
        <f t="shared" si="57"/>
        <v>263</v>
      </c>
      <c r="BF83" s="63" t="b">
        <f t="shared" si="58"/>
        <v>1</v>
      </c>
      <c r="BG83" s="116" t="s">
        <v>1513</v>
      </c>
      <c r="BH83" s="102" t="s">
        <v>1513</v>
      </c>
      <c r="BI83" s="102" t="s">
        <v>1513</v>
      </c>
      <c r="BJ83" s="102" t="s">
        <v>1513</v>
      </c>
      <c r="BK83" s="102" t="s">
        <v>1513</v>
      </c>
      <c r="BL83" s="102" t="s">
        <v>1513</v>
      </c>
      <c r="BM83" s="102" t="s">
        <v>1513</v>
      </c>
      <c r="BN83" s="102" t="s">
        <v>1513</v>
      </c>
      <c r="BO83" s="102" t="s">
        <v>1513</v>
      </c>
      <c r="BP83" s="102" t="s">
        <v>1513</v>
      </c>
      <c r="BQ83" s="102" t="s">
        <v>1513</v>
      </c>
      <c r="BR83" s="102" t="s">
        <v>1513</v>
      </c>
      <c r="BS83" s="116">
        <f t="shared" si="59"/>
        <v>26</v>
      </c>
      <c r="BT83" s="117">
        <f t="shared" si="60"/>
        <v>58</v>
      </c>
      <c r="BU83" s="118">
        <f t="shared" si="61"/>
        <v>62</v>
      </c>
      <c r="BV83" s="117">
        <f t="shared" si="62"/>
        <v>95</v>
      </c>
      <c r="BW83" s="118">
        <f t="shared" si="63"/>
        <v>99</v>
      </c>
      <c r="BX83" s="117">
        <f t="shared" si="64"/>
        <v>135</v>
      </c>
      <c r="BY83" s="118">
        <f t="shared" si="65"/>
        <v>146</v>
      </c>
      <c r="BZ83" s="117">
        <f t="shared" si="66"/>
        <v>181</v>
      </c>
      <c r="CA83" s="118">
        <f t="shared" si="67"/>
        <v>185</v>
      </c>
      <c r="CB83" s="117">
        <f t="shared" si="68"/>
        <v>318</v>
      </c>
      <c r="CC83" s="118">
        <f t="shared" si="69"/>
        <v>361</v>
      </c>
      <c r="CD83" s="117">
        <f t="shared" si="70"/>
        <v>387</v>
      </c>
      <c r="CE83" s="116">
        <f t="shared" si="71"/>
        <v>57</v>
      </c>
      <c r="CF83" s="117">
        <f t="shared" si="72"/>
        <v>61</v>
      </c>
      <c r="CG83" s="118">
        <f t="shared" si="73"/>
        <v>92</v>
      </c>
      <c r="CH83" s="118">
        <f t="shared" si="74"/>
        <v>98</v>
      </c>
      <c r="CI83" s="118">
        <f t="shared" si="75"/>
        <v>134</v>
      </c>
      <c r="CJ83" s="118">
        <f t="shared" si="76"/>
        <v>143</v>
      </c>
      <c r="CK83" s="118">
        <f t="shared" si="77"/>
        <v>171</v>
      </c>
      <c r="CL83" s="118">
        <f t="shared" si="78"/>
        <v>183</v>
      </c>
      <c r="CM83" s="118">
        <f t="shared" si="79"/>
        <v>226</v>
      </c>
      <c r="CN83" s="118">
        <f t="shared" si="80"/>
        <v>354</v>
      </c>
      <c r="CO83" s="118">
        <f t="shared" si="81"/>
        <v>386</v>
      </c>
      <c r="CP83" s="118">
        <f t="shared" si="82"/>
        <v>399</v>
      </c>
      <c r="CQ83" s="57">
        <f t="shared" si="83"/>
        <v>1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</row>
    <row r="84" spans="1:1026" x14ac:dyDescent="0.2">
      <c r="A84" s="3" t="str">
        <f t="shared" si="56"/>
        <v>drd3_human_3PBL</v>
      </c>
      <c r="B84" s="3" t="s">
        <v>385</v>
      </c>
      <c r="C84" s="3" t="s">
        <v>262</v>
      </c>
      <c r="D84" s="3" t="str">
        <f>IFERROR(MID(VLOOKUP($B84,Seqs!$A:$B,2,0),E84,1),"")</f>
        <v>Y</v>
      </c>
      <c r="E84" s="3">
        <v>32</v>
      </c>
      <c r="F84" s="3" t="str">
        <f>IFERROR(MID(VLOOKUP($B84,Seqs!$A:$B,2,0),G84,1),"")</f>
        <v>E</v>
      </c>
      <c r="G84" s="3">
        <v>57</v>
      </c>
      <c r="H84" s="3" t="str">
        <f>IFERROR(MID(VLOOKUP($B84,Seqs!$A:$B,2,0),I84,1),"")</f>
        <v>R</v>
      </c>
      <c r="I84" s="57">
        <v>58</v>
      </c>
      <c r="J84" s="3" t="str">
        <f>IFERROR(MID(VLOOKUP($B84,Seqs!$A:$B,2,0),K84,1),"")</f>
        <v>Q</v>
      </c>
      <c r="K84" s="57">
        <v>61</v>
      </c>
      <c r="L84" s="3" t="str">
        <f>IFERROR(MID(VLOOKUP($B84,Seqs!$A:$B,2,0),M84,1),"")</f>
        <v>T</v>
      </c>
      <c r="M84" s="3">
        <v>62</v>
      </c>
      <c r="N84" s="3" t="str">
        <f>IFERROR(MID(VLOOKUP($B84,Seqs!$A:$B,2,0),O84,1),"")</f>
        <v>T</v>
      </c>
      <c r="O84" s="3">
        <v>92</v>
      </c>
      <c r="P84" s="3" t="str">
        <f>IFERROR(MID(VLOOKUP($B84,Seqs!$A:$B,2,0),Q84,1),"")</f>
        <v>V</v>
      </c>
      <c r="Q84" s="3">
        <v>95</v>
      </c>
      <c r="R84" s="3" t="str">
        <f>IFERROR(MID(VLOOKUP($B84,Seqs!$A:$B,2,0),S84,1),"")</f>
        <v>F</v>
      </c>
      <c r="S84" s="3">
        <v>98</v>
      </c>
      <c r="T84" s="3" t="str">
        <f>IFERROR(MID(VLOOKUP($B84,Seqs!$A:$B,2,0),U84,1),"")</f>
        <v>S</v>
      </c>
      <c r="U84" s="3">
        <v>99</v>
      </c>
      <c r="V84" s="3" t="str">
        <f>IFERROR(MID(VLOOKUP($B84,Seqs!$A:$B,2,0),W84,1),"")</f>
        <v>M</v>
      </c>
      <c r="W84" s="3">
        <v>134</v>
      </c>
      <c r="X84" s="3" t="str">
        <f>IFERROR(MID(VLOOKUP($B84,Seqs!$A:$B,2,0),Y84,1),"")</f>
        <v>P</v>
      </c>
      <c r="Y84" s="3">
        <v>135</v>
      </c>
      <c r="Z84" s="3" t="str">
        <f>IFERROR(MID(VLOOKUP($B84,Seqs!$A:$B,2,0),AA84,1),"")</f>
        <v>G</v>
      </c>
      <c r="AA84" s="3">
        <v>143</v>
      </c>
      <c r="AB84" s="3" t="str">
        <f>IFERROR(MID(VLOOKUP($B84,Seqs!$A:$B,2,0),AC84,1),"")</f>
        <v>S</v>
      </c>
      <c r="AC84" s="3">
        <v>146</v>
      </c>
      <c r="AD84" s="3" t="str">
        <f>IFERROR(MID(VLOOKUP($B84,Seqs!$A:$B,2,0),AE84,1),"")</f>
        <v>G</v>
      </c>
      <c r="AE84" s="3">
        <v>171</v>
      </c>
      <c r="AF84" s="3" t="str">
        <f>IFERROR(MID(VLOOKUP($B84,Seqs!$A:$B,2,0),AG84,1),"")</f>
        <v>C</v>
      </c>
      <c r="AG84" s="3">
        <v>181</v>
      </c>
      <c r="AH84" s="3" t="str">
        <f>IFERROR(MID(VLOOKUP($B84,Seqs!$A:$B,2,0),AI84,1),"")</f>
        <v>I</v>
      </c>
      <c r="AI84" s="3">
        <v>183</v>
      </c>
      <c r="AJ84" s="3" t="str">
        <f>IFERROR(MID(VLOOKUP($B84,Seqs!$A:$B,2,0),AK84,1),"")</f>
        <v>N</v>
      </c>
      <c r="AK84" s="3">
        <v>185</v>
      </c>
      <c r="AL84" s="3" t="str">
        <f>IFERROR(MID(VLOOKUP($B84,Seqs!$A:$B,2,0),AM84,1),"")</f>
        <v>K</v>
      </c>
      <c r="AM84" s="3">
        <v>216</v>
      </c>
      <c r="AN84" s="3" t="str">
        <f>IFERROR(MID(VLOOKUP($B84,Seqs!$A:$B,2,0),AO84,1),"")</f>
        <v>R</v>
      </c>
      <c r="AO84" s="3">
        <v>323</v>
      </c>
      <c r="AP84" s="3" t="str">
        <f>IFERROR(MID(VLOOKUP($B84,Seqs!$A:$B,2,0),AQ84,1),"")</f>
        <v>H</v>
      </c>
      <c r="AQ84" s="3">
        <v>354</v>
      </c>
      <c r="AR84" s="3" t="str">
        <f>IFERROR(MID(VLOOKUP($B84,Seqs!$A:$B,2,0),AS84,1),"")</f>
        <v>S</v>
      </c>
      <c r="AS84" s="3">
        <v>361</v>
      </c>
      <c r="AT84" s="3" t="str">
        <f>IFERROR(MID(VLOOKUP($B84,Seqs!$A:$B,2,0),AU84,1),"")</f>
        <v>F</v>
      </c>
      <c r="AU84" s="3">
        <v>386</v>
      </c>
      <c r="AV84" s="3" t="str">
        <f>IFERROR(MID(VLOOKUP($B84,Seqs!$A:$B,2,0),AW84,1),"")</f>
        <v>N</v>
      </c>
      <c r="AW84" s="3">
        <v>387</v>
      </c>
      <c r="AX84" s="3" t="str">
        <f>IFERROR(MID(VLOOKUP($B84,Seqs!$A:$B,2,0),AY84,1),"")</f>
        <v>S</v>
      </c>
      <c r="AY84" s="3">
        <v>399</v>
      </c>
      <c r="BA84" s="124" t="str">
        <f>VLOOKUP(B84,Classification!A:D,2,0)</f>
        <v>A</v>
      </c>
      <c r="BC84" s="1"/>
      <c r="BD84" s="4"/>
      <c r="BE84" s="57">
        <f t="shared" si="57"/>
        <v>242</v>
      </c>
      <c r="BF84" s="63" t="b">
        <f t="shared" si="58"/>
        <v>1</v>
      </c>
      <c r="BG84" s="116" t="s">
        <v>1513</v>
      </c>
      <c r="BH84" s="102" t="s">
        <v>1513</v>
      </c>
      <c r="BI84" s="102" t="s">
        <v>1513</v>
      </c>
      <c r="BJ84" s="102" t="s">
        <v>1513</v>
      </c>
      <c r="BK84" s="102" t="s">
        <v>1513</v>
      </c>
      <c r="BL84" s="102" t="s">
        <v>1513</v>
      </c>
      <c r="BM84" s="102" t="s">
        <v>1513</v>
      </c>
      <c r="BN84" s="102" t="s">
        <v>1513</v>
      </c>
      <c r="BO84" s="102" t="s">
        <v>1513</v>
      </c>
      <c r="BP84" s="102" t="s">
        <v>1513</v>
      </c>
      <c r="BQ84" s="102" t="s">
        <v>1513</v>
      </c>
      <c r="BR84" s="102" t="s">
        <v>1513</v>
      </c>
      <c r="BS84" s="116">
        <f t="shared" si="59"/>
        <v>32</v>
      </c>
      <c r="BT84" s="117">
        <f t="shared" si="60"/>
        <v>58</v>
      </c>
      <c r="BU84" s="118">
        <f t="shared" si="61"/>
        <v>62</v>
      </c>
      <c r="BV84" s="117">
        <f t="shared" si="62"/>
        <v>95</v>
      </c>
      <c r="BW84" s="118">
        <f t="shared" si="63"/>
        <v>99</v>
      </c>
      <c r="BX84" s="117">
        <f t="shared" si="64"/>
        <v>135</v>
      </c>
      <c r="BY84" s="118">
        <f t="shared" si="65"/>
        <v>146</v>
      </c>
      <c r="BZ84" s="117">
        <f t="shared" si="66"/>
        <v>181</v>
      </c>
      <c r="CA84" s="118">
        <f t="shared" si="67"/>
        <v>185</v>
      </c>
      <c r="CB84" s="117">
        <f t="shared" si="68"/>
        <v>323</v>
      </c>
      <c r="CC84" s="118">
        <f t="shared" si="69"/>
        <v>361</v>
      </c>
      <c r="CD84" s="117">
        <f t="shared" si="70"/>
        <v>387</v>
      </c>
      <c r="CE84" s="116">
        <f t="shared" si="71"/>
        <v>57</v>
      </c>
      <c r="CF84" s="117">
        <f t="shared" si="72"/>
        <v>61</v>
      </c>
      <c r="CG84" s="118">
        <f t="shared" si="73"/>
        <v>92</v>
      </c>
      <c r="CH84" s="118">
        <f t="shared" si="74"/>
        <v>98</v>
      </c>
      <c r="CI84" s="118">
        <f t="shared" si="75"/>
        <v>134</v>
      </c>
      <c r="CJ84" s="118">
        <f t="shared" si="76"/>
        <v>143</v>
      </c>
      <c r="CK84" s="118">
        <f t="shared" si="77"/>
        <v>171</v>
      </c>
      <c r="CL84" s="118">
        <f t="shared" si="78"/>
        <v>183</v>
      </c>
      <c r="CM84" s="118">
        <f t="shared" si="79"/>
        <v>216</v>
      </c>
      <c r="CN84" s="118">
        <f t="shared" si="80"/>
        <v>354</v>
      </c>
      <c r="CO84" s="118">
        <f t="shared" si="81"/>
        <v>386</v>
      </c>
      <c r="CP84" s="118">
        <f t="shared" si="82"/>
        <v>399</v>
      </c>
      <c r="CQ84" s="57">
        <f t="shared" si="83"/>
        <v>1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</row>
    <row r="85" spans="1:1026" s="23" customFormat="1" x14ac:dyDescent="0.2">
      <c r="A85" s="2" t="s">
        <v>1561</v>
      </c>
      <c r="B85" s="2" t="s">
        <v>389</v>
      </c>
      <c r="C85" s="2" t="s">
        <v>293</v>
      </c>
      <c r="D85" s="3" t="str">
        <f>IFERROR(MID(VLOOKUP($B85,Seqs!$A:$B,2,0),E85,1),"")</f>
        <v>Q</v>
      </c>
      <c r="E85" s="2">
        <v>91</v>
      </c>
      <c r="F85" s="3" t="str">
        <f>IFERROR(MID(VLOOKUP($B85,Seqs!$A:$B,2,0),G85,1),"")</f>
        <v>N</v>
      </c>
      <c r="G85" s="2">
        <v>129</v>
      </c>
      <c r="H85" s="3" t="str">
        <f>IFERROR(MID(VLOOKUP($B85,Seqs!$A:$B,2,0),I85,1),"")</f>
        <v>K</v>
      </c>
      <c r="I85" s="101">
        <v>130</v>
      </c>
      <c r="J85" s="3" t="str">
        <f>IFERROR(MID(VLOOKUP($B85,Seqs!$A:$B,2,0),K85,1),"")</f>
        <v>N</v>
      </c>
      <c r="K85" s="101">
        <v>134</v>
      </c>
      <c r="L85" s="3" t="str">
        <f>IFERROR(MID(VLOOKUP($B85,Seqs!$A:$B,2,0),M85,1),"")</f>
        <v>G</v>
      </c>
      <c r="M85" s="2">
        <v>135</v>
      </c>
      <c r="N85" s="3" t="str">
        <f>IFERROR(MID(VLOOKUP($B85,Seqs!$A:$B,2,0),O85,1),"")</f>
        <v>A</v>
      </c>
      <c r="O85" s="2">
        <v>164</v>
      </c>
      <c r="P85" s="3" t="str">
        <f>IFERROR(MID(VLOOKUP($B85,Seqs!$A:$B,2,0),Q85,1),"")</f>
        <v>D</v>
      </c>
      <c r="Q85" s="2">
        <v>166</v>
      </c>
      <c r="R85" s="3" t="str">
        <f>IFERROR(MID(VLOOKUP($B85,Seqs!$A:$B,2,0),S85,1),"")</f>
        <v>F</v>
      </c>
      <c r="S85" s="2">
        <v>169</v>
      </c>
      <c r="T85" s="3" t="str">
        <f>IFERROR(MID(VLOOKUP($B85,Seqs!$A:$B,2,0),U85,1),"")</f>
        <v>G</v>
      </c>
      <c r="U85" s="4">
        <v>170</v>
      </c>
      <c r="V85" s="3" t="str">
        <f>IFERROR(MID(VLOOKUP($B85,Seqs!$A:$B,2,0),W85,1),"")</f>
        <v>S</v>
      </c>
      <c r="W85" s="2">
        <v>205</v>
      </c>
      <c r="X85" s="3" t="str">
        <f>IFERROR(MID(VLOOKUP($B85,Seqs!$A:$B,2,0),Y85,1),"")</f>
        <v>W</v>
      </c>
      <c r="Y85" s="2">
        <v>206</v>
      </c>
      <c r="Z85" s="3" t="str">
        <f>IFERROR(MID(VLOOKUP($B85,Seqs!$A:$B,2,0),AA85,1),"")</f>
        <v>G</v>
      </c>
      <c r="AA85" s="2">
        <v>213</v>
      </c>
      <c r="AB85" s="3" t="str">
        <f>IFERROR(MID(VLOOKUP($B85,Seqs!$A:$B,2,0),AC85,1),"")</f>
        <v>P</v>
      </c>
      <c r="AC85" s="2">
        <v>215</v>
      </c>
      <c r="AD85" s="3" t="str">
        <f>IFERROR(MID(VLOOKUP($B85,Seqs!$A:$B,2,0),AE85,1),"")</f>
        <v>F</v>
      </c>
      <c r="AE85" s="2">
        <v>240</v>
      </c>
      <c r="AF85" s="3" t="str">
        <f>IFERROR(MID(VLOOKUP($B85,Seqs!$A:$B,2,0),AG85,1),"")</f>
        <v>C</v>
      </c>
      <c r="AG85" s="2">
        <v>255</v>
      </c>
      <c r="AH85" s="3" t="str">
        <f>IFERROR(MID(VLOOKUP($B85,Seqs!$A:$B,2,0),AI85,1),"")</f>
        <v>L</v>
      </c>
      <c r="AI85" s="2">
        <v>257</v>
      </c>
      <c r="AJ85" s="3" t="str">
        <f>IFERROR(MID(VLOOKUP($B85,Seqs!$A:$B,2,0),AK85,1),"")</f>
        <v>A</v>
      </c>
      <c r="AK85" s="2">
        <v>264</v>
      </c>
      <c r="AL85" s="3" t="str">
        <f>IFERROR(MID(VLOOKUP($B85,Seqs!$A:$B,2,0),AM85,1),"")</f>
        <v>M</v>
      </c>
      <c r="AM85" s="2">
        <v>307</v>
      </c>
      <c r="AN85" s="3" t="str">
        <f>IFERROR(MID(VLOOKUP($B85,Seqs!$A:$B,2,0),AO85,1),"")</f>
        <v>N</v>
      </c>
      <c r="AO85" s="2">
        <v>312</v>
      </c>
      <c r="AP85" s="3" t="str">
        <f>IFERROR(MID(VLOOKUP($B85,Seqs!$A:$B,2,0),AQ85,1),"")</f>
        <v>Y</v>
      </c>
      <c r="AQ85" s="2">
        <v>350</v>
      </c>
      <c r="AR85" s="3" t="str">
        <f>IFERROR(MID(VLOOKUP($B85,Seqs!$A:$B,2,0),AS85,1),"")</f>
        <v>R</v>
      </c>
      <c r="AS85" s="2">
        <v>357</v>
      </c>
      <c r="AT85" s="3" t="str">
        <f>IFERROR(MID(VLOOKUP($B85,Seqs!$A:$B,2,0),AU85,1),"")</f>
        <v>V</v>
      </c>
      <c r="AU85" s="2">
        <v>389</v>
      </c>
      <c r="AV85" s="3" t="str">
        <f>IFERROR(MID(VLOOKUP($B85,Seqs!$A:$B,2,0),AW85,1),"")</f>
        <v>S</v>
      </c>
      <c r="AW85" s="2">
        <v>390</v>
      </c>
      <c r="AX85" s="3" t="str">
        <f>IFERROR(MID(VLOOKUP($B85,Seqs!$A:$B,2,0),AY85,1),"")</f>
        <v>C</v>
      </c>
      <c r="AY85" s="2">
        <v>403</v>
      </c>
      <c r="AZ85" s="90"/>
      <c r="BA85" s="124" t="str">
        <f>VLOOKUP(B85,Classification!A:D,2,0)</f>
        <v>A</v>
      </c>
      <c r="BB85" s="90"/>
      <c r="BC85" s="2"/>
      <c r="BD85" s="35"/>
      <c r="BE85" s="2"/>
      <c r="BF85" s="63"/>
      <c r="BG85" s="116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16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16"/>
      <c r="CF85" s="102"/>
      <c r="CG85" s="102"/>
      <c r="CH85" s="102"/>
      <c r="CI85" s="102"/>
      <c r="CJ85" s="102"/>
      <c r="CK85" s="102"/>
      <c r="CL85" s="102"/>
      <c r="CM85" s="102"/>
      <c r="CN85" s="102"/>
      <c r="CO85" s="102"/>
      <c r="CP85" s="102"/>
      <c r="CQ85" s="2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</row>
    <row r="86" spans="1:1026" s="23" customFormat="1" x14ac:dyDescent="0.2">
      <c r="A86" s="2" t="s">
        <v>1565</v>
      </c>
      <c r="B86" s="2" t="s">
        <v>389</v>
      </c>
      <c r="C86" s="2" t="s">
        <v>1560</v>
      </c>
      <c r="D86" s="3" t="str">
        <f>IFERROR(MID(VLOOKUP($B86,Seqs!$A:$B,2,0),E86,1),"")</f>
        <v>K</v>
      </c>
      <c r="E86" s="2">
        <v>97</v>
      </c>
      <c r="F86" s="3" t="str">
        <f>IFERROR(MID(VLOOKUP($B86,Seqs!$A:$B,2,0),G86,1),"")</f>
        <v>N</v>
      </c>
      <c r="G86" s="2">
        <v>129</v>
      </c>
      <c r="H86" s="3" t="str">
        <f>IFERROR(MID(VLOOKUP($B86,Seqs!$A:$B,2,0),I86,1),"")</f>
        <v/>
      </c>
      <c r="I86" s="101" t="s">
        <v>129</v>
      </c>
      <c r="J86" s="3" t="str">
        <f>IFERROR(MID(VLOOKUP($B86,Seqs!$A:$B,2,0),K86,1),"")</f>
        <v/>
      </c>
      <c r="K86" s="101" t="s">
        <v>129</v>
      </c>
      <c r="L86" s="3" t="str">
        <f>IFERROR(MID(VLOOKUP($B86,Seqs!$A:$B,2,0),M86,1),"")</f>
        <v>P</v>
      </c>
      <c r="M86" s="2">
        <v>136</v>
      </c>
      <c r="N86" s="3" t="str">
        <f>IFERROR(MID(VLOOKUP($B86,Seqs!$A:$B,2,0),O86,1),"")</f>
        <v>A</v>
      </c>
      <c r="O86" s="2">
        <v>164</v>
      </c>
      <c r="P86" s="3" t="str">
        <f>IFERROR(MID(VLOOKUP($B86,Seqs!$A:$B,2,0),Q86,1),"")</f>
        <v>D</v>
      </c>
      <c r="Q86" s="2">
        <v>166</v>
      </c>
      <c r="R86" s="3" t="str">
        <f>IFERROR(MID(VLOOKUP($B86,Seqs!$A:$B,2,0),S86,1),"")</f>
        <v>F</v>
      </c>
      <c r="S86" s="2">
        <v>169</v>
      </c>
      <c r="T86" s="3" t="str">
        <f>IFERROR(MID(VLOOKUP($B86,Seqs!$A:$B,2,0),U86,1),"")</f>
        <v>G</v>
      </c>
      <c r="U86" s="4">
        <v>170</v>
      </c>
      <c r="V86" s="3" t="str">
        <f>IFERROR(MID(VLOOKUP($B86,Seqs!$A:$B,2,0),W86,1),"")</f>
        <v>S</v>
      </c>
      <c r="W86" s="2">
        <v>205</v>
      </c>
      <c r="X86" s="3" t="str">
        <f>IFERROR(MID(VLOOKUP($B86,Seqs!$A:$B,2,0),Y86,1),"")</f>
        <v/>
      </c>
      <c r="Y86" s="2" t="s">
        <v>129</v>
      </c>
      <c r="Z86" s="3" t="str">
        <f>IFERROR(MID(VLOOKUP($B86,Seqs!$A:$B,2,0),AA86,1),"")</f>
        <v/>
      </c>
      <c r="AA86" s="2" t="s">
        <v>129</v>
      </c>
      <c r="AB86" s="3" t="str">
        <f>IFERROR(MID(VLOOKUP($B86,Seqs!$A:$B,2,0),AC86,1),"")</f>
        <v>T</v>
      </c>
      <c r="AC86" s="2">
        <v>218</v>
      </c>
      <c r="AD86" s="3" t="str">
        <f>IFERROR(MID(VLOOKUP($B86,Seqs!$A:$B,2,0),AE86,1),"")</f>
        <v>F</v>
      </c>
      <c r="AE86" s="2">
        <v>240</v>
      </c>
      <c r="AF86" s="3" t="str">
        <f>IFERROR(MID(VLOOKUP($B86,Seqs!$A:$B,2,0),AG86,1),"")</f>
        <v>C</v>
      </c>
      <c r="AG86" s="2">
        <v>255</v>
      </c>
      <c r="AH86" s="3" t="str">
        <f>IFERROR(MID(VLOOKUP($B86,Seqs!$A:$B,2,0),AI86,1),"")</f>
        <v>L</v>
      </c>
      <c r="AI86" s="2">
        <v>257</v>
      </c>
      <c r="AJ86" s="3" t="str">
        <f>IFERROR(MID(VLOOKUP($B86,Seqs!$A:$B,2,0),AK86,1),"")</f>
        <v>A</v>
      </c>
      <c r="AK86" s="2">
        <v>264</v>
      </c>
      <c r="AL86" s="3" t="str">
        <f>IFERROR(MID(VLOOKUP($B86,Seqs!$A:$B,2,0),AM86,1),"")</f>
        <v>K</v>
      </c>
      <c r="AM86" s="2">
        <v>303</v>
      </c>
      <c r="AN86" s="3" t="str">
        <f>IFERROR(MID(VLOOKUP($B86,Seqs!$A:$B,2,0),AO86,1),"")</f>
        <v>N</v>
      </c>
      <c r="AO86" s="2">
        <v>312</v>
      </c>
      <c r="AP86" s="3" t="str">
        <f>IFERROR(MID(VLOOKUP($B86,Seqs!$A:$B,2,0),AQ86,1),"")</f>
        <v>Y</v>
      </c>
      <c r="AQ86" s="2">
        <v>350</v>
      </c>
      <c r="AR86" s="3" t="str">
        <f>IFERROR(MID(VLOOKUP($B86,Seqs!$A:$B,2,0),AS86,1),"")</f>
        <v>R</v>
      </c>
      <c r="AS86" s="2">
        <v>357</v>
      </c>
      <c r="AT86" s="3" t="str">
        <f>IFERROR(MID(VLOOKUP($B86,Seqs!$A:$B,2,0),AU86,1),"")</f>
        <v>V</v>
      </c>
      <c r="AU86" s="2">
        <v>389</v>
      </c>
      <c r="AV86" s="3" t="str">
        <f>IFERROR(MID(VLOOKUP($B86,Seqs!$A:$B,2,0),AW86,1),"")</f>
        <v>S</v>
      </c>
      <c r="AW86" s="2">
        <v>390</v>
      </c>
      <c r="AX86" s="3" t="str">
        <f>IFERROR(MID(VLOOKUP($B86,Seqs!$A:$B,2,0),AY86,1),"")</f>
        <v>L</v>
      </c>
      <c r="AY86" s="2">
        <v>401</v>
      </c>
      <c r="AZ86" s="90"/>
      <c r="BA86" s="124" t="str">
        <f>VLOOKUP(B86,Classification!A:D,2,0)</f>
        <v>A</v>
      </c>
      <c r="BB86" s="90"/>
      <c r="BC86" s="2"/>
      <c r="BD86" s="2"/>
      <c r="BE86" s="2"/>
      <c r="BF86" s="63"/>
      <c r="BG86" s="116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16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16"/>
      <c r="CF86" s="102"/>
      <c r="CG86" s="102"/>
      <c r="CH86" s="102"/>
      <c r="CI86" s="102"/>
      <c r="CJ86" s="102"/>
      <c r="CK86" s="102"/>
      <c r="CL86" s="102"/>
      <c r="CM86" s="102"/>
      <c r="CN86" s="102"/>
      <c r="CO86" s="102"/>
      <c r="CP86" s="102"/>
      <c r="CQ86" s="2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</row>
    <row r="87" spans="1:1026" s="23" customFormat="1" x14ac:dyDescent="0.2">
      <c r="A87" s="2" t="s">
        <v>1558</v>
      </c>
      <c r="B87" s="2" t="s">
        <v>389</v>
      </c>
      <c r="C87" s="2" t="s">
        <v>1559</v>
      </c>
      <c r="D87" s="3" t="str">
        <f>IFERROR(MID(VLOOKUP($B87,Seqs!$A:$B,2,0),E87,1),"")</f>
        <v>Q</v>
      </c>
      <c r="E87" s="2">
        <v>91</v>
      </c>
      <c r="F87" s="3" t="str">
        <f>IFERROR(MID(VLOOKUP($B87,Seqs!$A:$B,2,0),G87,1),"")</f>
        <v>N</v>
      </c>
      <c r="G87" s="2">
        <v>129</v>
      </c>
      <c r="H87" s="3" t="str">
        <f>IFERROR(MID(VLOOKUP($B87,Seqs!$A:$B,2,0),I87,1),"")</f>
        <v>K</v>
      </c>
      <c r="I87" s="101">
        <v>130</v>
      </c>
      <c r="J87" s="3" t="str">
        <f>IFERROR(MID(VLOOKUP($B87,Seqs!$A:$B,2,0),K87,1),"")</f>
        <v>N</v>
      </c>
      <c r="K87" s="101">
        <v>134</v>
      </c>
      <c r="L87" s="3" t="str">
        <f>IFERROR(MID(VLOOKUP($B87,Seqs!$A:$B,2,0),M87,1),"")</f>
        <v>G</v>
      </c>
      <c r="M87" s="2">
        <v>135</v>
      </c>
      <c r="N87" s="3" t="str">
        <f>IFERROR(MID(VLOOKUP($B87,Seqs!$A:$B,2,0),O87,1),"")</f>
        <v>A</v>
      </c>
      <c r="O87" s="2">
        <v>164</v>
      </c>
      <c r="P87" s="3" t="str">
        <f>IFERROR(MID(VLOOKUP($B87,Seqs!$A:$B,2,0),Q87,1),"")</f>
        <v>D</v>
      </c>
      <c r="Q87" s="2">
        <v>166</v>
      </c>
      <c r="R87" s="3" t="str">
        <f>IFERROR(MID(VLOOKUP($B87,Seqs!$A:$B,2,0),S87,1),"")</f>
        <v>F</v>
      </c>
      <c r="S87" s="2">
        <v>169</v>
      </c>
      <c r="T87" s="3" t="str">
        <f>IFERROR(MID(VLOOKUP($B87,Seqs!$A:$B,2,0),U87,1),"")</f>
        <v>G</v>
      </c>
      <c r="U87" s="4">
        <v>170</v>
      </c>
      <c r="V87" s="3" t="str">
        <f>IFERROR(MID(VLOOKUP($B87,Seqs!$A:$B,2,0),W87,1),"")</f>
        <v>S</v>
      </c>
      <c r="W87" s="2">
        <v>205</v>
      </c>
      <c r="X87" s="3" t="str">
        <f>IFERROR(MID(VLOOKUP($B87,Seqs!$A:$B,2,0),Y87,1),"")</f>
        <v/>
      </c>
      <c r="Y87" s="2" t="s">
        <v>129</v>
      </c>
      <c r="Z87" s="3" t="str">
        <f>IFERROR(MID(VLOOKUP($B87,Seqs!$A:$B,2,0),AA87,1),"")</f>
        <v/>
      </c>
      <c r="AA87" s="2" t="s">
        <v>129</v>
      </c>
      <c r="AB87" s="3" t="str">
        <f>IFERROR(MID(VLOOKUP($B87,Seqs!$A:$B,2,0),AC87,1),"")</f>
        <v>P</v>
      </c>
      <c r="AC87" s="2">
        <v>215</v>
      </c>
      <c r="AD87" s="3" t="str">
        <f>IFERROR(MID(VLOOKUP($B87,Seqs!$A:$B,2,0),AE87,1),"")</f>
        <v>F</v>
      </c>
      <c r="AE87" s="2">
        <v>240</v>
      </c>
      <c r="AF87" s="3" t="str">
        <f>IFERROR(MID(VLOOKUP($B87,Seqs!$A:$B,2,0),AG87,1),"")</f>
        <v>C</v>
      </c>
      <c r="AG87" s="2">
        <v>255</v>
      </c>
      <c r="AH87" s="3" t="str">
        <f>IFERROR(MID(VLOOKUP($B87,Seqs!$A:$B,2,0),AI87,1),"")</f>
        <v>L</v>
      </c>
      <c r="AI87" s="2">
        <v>257</v>
      </c>
      <c r="AJ87" s="3" t="str">
        <f>IFERROR(MID(VLOOKUP($B87,Seqs!$A:$B,2,0),AK87,1),"")</f>
        <v>A</v>
      </c>
      <c r="AK87" s="2">
        <v>264</v>
      </c>
      <c r="AL87" s="3" t="str">
        <f>IFERROR(MID(VLOOKUP($B87,Seqs!$A:$B,2,0),AM87,1),"")</f>
        <v>K</v>
      </c>
      <c r="AM87" s="2">
        <v>303</v>
      </c>
      <c r="AN87" s="3" t="str">
        <f>IFERROR(MID(VLOOKUP($B87,Seqs!$A:$B,2,0),AO87,1),"")</f>
        <v>N</v>
      </c>
      <c r="AO87" s="2">
        <v>312</v>
      </c>
      <c r="AP87" s="3" t="str">
        <f>IFERROR(MID(VLOOKUP($B87,Seqs!$A:$B,2,0),AQ87,1),"")</f>
        <v>Y</v>
      </c>
      <c r="AQ87" s="2">
        <v>350</v>
      </c>
      <c r="AR87" s="3" t="str">
        <f>IFERROR(MID(VLOOKUP($B87,Seqs!$A:$B,2,0),AS87,1),"")</f>
        <v>R</v>
      </c>
      <c r="AS87" s="2">
        <v>357</v>
      </c>
      <c r="AT87" s="3" t="str">
        <f>IFERROR(MID(VLOOKUP($B87,Seqs!$A:$B,2,0),AU87,1),"")</f>
        <v>V</v>
      </c>
      <c r="AU87" s="2">
        <v>389</v>
      </c>
      <c r="AV87" s="3" t="str">
        <f>IFERROR(MID(VLOOKUP($B87,Seqs!$A:$B,2,0),AW87,1),"")</f>
        <v>S</v>
      </c>
      <c r="AW87" s="2">
        <v>390</v>
      </c>
      <c r="AX87" s="3" t="str">
        <f>IFERROR(MID(VLOOKUP($B87,Seqs!$A:$B,2,0),AY87,1),"")</f>
        <v>C</v>
      </c>
      <c r="AY87" s="2">
        <v>403</v>
      </c>
      <c r="AZ87" s="90"/>
      <c r="BA87" s="124" t="str">
        <f>VLOOKUP(B87,Classification!A:D,2,0)</f>
        <v>A</v>
      </c>
      <c r="BB87" s="90"/>
      <c r="BC87" s="2"/>
      <c r="BD87" s="35"/>
      <c r="BE87" s="2"/>
      <c r="BF87" s="63"/>
      <c r="BG87" s="116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16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16"/>
      <c r="CF87" s="102"/>
      <c r="CG87" s="102"/>
      <c r="CH87" s="102"/>
      <c r="CI87" s="102"/>
      <c r="CJ87" s="102"/>
      <c r="CK87" s="102"/>
      <c r="CL87" s="102"/>
      <c r="CM87" s="102"/>
      <c r="CN87" s="102"/>
      <c r="CO87" s="102"/>
      <c r="CP87" s="102"/>
      <c r="CQ87" s="2"/>
    </row>
    <row r="88" spans="1:1026" x14ac:dyDescent="0.2">
      <c r="A88" s="3" t="str">
        <f t="shared" ref="A88:A119" si="84">CONCATENATE(B88,"_",C88)</f>
        <v>ffar1_human__wt</v>
      </c>
      <c r="B88" s="3" t="s">
        <v>1391</v>
      </c>
      <c r="C88" s="3" t="s">
        <v>293</v>
      </c>
      <c r="D88" s="3" t="str">
        <f>IFERROR(MID(VLOOKUP($B88,Seqs!$A:$B,2,0),E88,1),"")</f>
        <v>Q</v>
      </c>
      <c r="E88" s="3">
        <v>6</v>
      </c>
      <c r="F88" s="3" t="str">
        <f>IFERROR(MID(VLOOKUP($B88,Seqs!$A:$B,2,0),G88,1),"")</f>
        <v>R</v>
      </c>
      <c r="G88" s="3">
        <v>37</v>
      </c>
      <c r="H88" s="3" t="str">
        <f>IFERROR(MID(VLOOKUP($B88,Seqs!$A:$B,2,0),I88,1),"")</f>
        <v/>
      </c>
      <c r="I88" s="57" t="s">
        <v>129</v>
      </c>
      <c r="J88" s="3" t="str">
        <f>IFERROR(MID(VLOOKUP($B88,Seqs!$A:$B,2,0),K88,1),"")</f>
        <v/>
      </c>
      <c r="K88" s="57" t="s">
        <v>129</v>
      </c>
      <c r="L88" s="3" t="str">
        <f>IFERROR(MID(VLOOKUP($B88,Seqs!$A:$B,2,0),M88,1),"")</f>
        <v>T</v>
      </c>
      <c r="M88" s="3">
        <v>39</v>
      </c>
      <c r="N88" s="3" t="str">
        <f>IFERROR(MID(VLOOKUP($B88,Seqs!$A:$B,2,0),O88,1),"")</f>
        <v>A</v>
      </c>
      <c r="O88" s="3">
        <v>68</v>
      </c>
      <c r="P88" s="3" t="str">
        <f>IFERROR(MID(VLOOKUP($B88,Seqs!$A:$B,2,0),Q88,1),"")</f>
        <v>A</v>
      </c>
      <c r="Q88" s="3">
        <v>71</v>
      </c>
      <c r="R88" s="3" t="str">
        <f>IFERROR(MID(VLOOKUP($B88,Seqs!$A:$B,2,0),S88,1),"")</f>
        <v>L</v>
      </c>
      <c r="S88" s="3">
        <v>74</v>
      </c>
      <c r="T88" s="3" t="str">
        <f>IFERROR(MID(VLOOKUP($B88,Seqs!$A:$B,2,0),U88,1),"")</f>
        <v>P</v>
      </c>
      <c r="U88" s="3">
        <v>75</v>
      </c>
      <c r="V88" s="3" t="str">
        <f>IFERROR(MID(VLOOKUP($B88,Seqs!$A:$B,2,0),W88,1),"")</f>
        <v>F</v>
      </c>
      <c r="W88" s="3">
        <v>110</v>
      </c>
      <c r="X88" s="3" t="str">
        <f>IFERROR(MID(VLOOKUP($B88,Seqs!$A:$B,2,0),Y88,1),"")</f>
        <v>P</v>
      </c>
      <c r="Y88" s="3">
        <v>111</v>
      </c>
      <c r="Z88" s="3" t="str">
        <f>IFERROR(MID(VLOOKUP($B88,Seqs!$A:$B,2,0),AA88,1),"")</f>
        <v>R</v>
      </c>
      <c r="AA88" s="3">
        <v>118</v>
      </c>
      <c r="AB88" s="3" t="str">
        <f>IFERROR(MID(VLOOKUP($B88,Seqs!$A:$B,2,0),AC88,1),"")</f>
        <v>P</v>
      </c>
      <c r="AC88" s="3">
        <v>120</v>
      </c>
      <c r="AD88" s="3" t="str">
        <f>IFERROR(MID(VLOOKUP($B88,Seqs!$A:$B,2,0),AE88,1),"")</f>
        <v>E</v>
      </c>
      <c r="AE88" s="3">
        <v>145</v>
      </c>
      <c r="AF88" s="3" t="str">
        <f>IFERROR(MID(VLOOKUP($B88,Seqs!$A:$B,2,0),AG88,1),"")</f>
        <v>C</v>
      </c>
      <c r="AG88" s="3">
        <v>170</v>
      </c>
      <c r="AH88" s="3" t="str">
        <f>IFERROR(MID(VLOOKUP($B88,Seqs!$A:$B,2,0),AI88,1),"")</f>
        <v>E</v>
      </c>
      <c r="AI88" s="3">
        <v>172</v>
      </c>
      <c r="AJ88" s="3" t="str">
        <f>IFERROR(MID(VLOOKUP($B88,Seqs!$A:$B,2,0),AK88,1),"")</f>
        <v>P</v>
      </c>
      <c r="AK88" s="3">
        <v>176</v>
      </c>
      <c r="AL88" s="3" t="str">
        <f>IFERROR(MID(VLOOKUP($B88,Seqs!$A:$B,2,0),AM88,1),"")</f>
        <v>R</v>
      </c>
      <c r="AM88" s="3">
        <v>211</v>
      </c>
      <c r="AN88" s="3" t="str">
        <f>IFERROR(MID(VLOOKUP($B88,Seqs!$A:$B,2,0),AO88,1),"")</f>
        <v>R</v>
      </c>
      <c r="AO88" s="3">
        <v>217</v>
      </c>
      <c r="AP88" s="3" t="str">
        <f>IFERROR(MID(VLOOKUP($B88,Seqs!$A:$B,2,0),AQ88,1),"")</f>
        <v>Y</v>
      </c>
      <c r="AQ88" s="3">
        <v>250</v>
      </c>
      <c r="AR88" s="3" t="str">
        <f>IFERROR(MID(VLOOKUP($B88,Seqs!$A:$B,2,0),AS88,1),"")</f>
        <v>G</v>
      </c>
      <c r="AS88" s="3">
        <v>255</v>
      </c>
      <c r="AT88" s="3" t="str">
        <f>IFERROR(MID(VLOOKUP($B88,Seqs!$A:$B,2,0),AU88,1),"")</f>
        <v>L</v>
      </c>
      <c r="AU88" s="3">
        <v>279</v>
      </c>
      <c r="AV88" s="3" t="str">
        <f>IFERROR(MID(VLOOKUP($B88,Seqs!$A:$B,2,0),AW88,1),"")</f>
        <v>G</v>
      </c>
      <c r="AW88" s="3">
        <v>280</v>
      </c>
      <c r="AX88" s="3" t="str">
        <f>IFERROR(MID(VLOOKUP($B88,Seqs!$A:$B,2,0),AY88,1),"")</f>
        <v>Q</v>
      </c>
      <c r="AY88" s="3">
        <v>294</v>
      </c>
      <c r="BA88" s="124" t="str">
        <f>VLOOKUP(B88,Classification!A:D,2,0)</f>
        <v>A</v>
      </c>
      <c r="BC88" s="1"/>
      <c r="BD88" s="72">
        <f>S88-Q88+1</f>
        <v>4</v>
      </c>
      <c r="BE88" s="57">
        <f t="shared" ref="BE88:BE119" si="85">_xlfn.AGGREGATE(9,6,CE88:CP88)-_xlfn.AGGREGATE(9,6,BS88:CD88)+12</f>
        <v>250</v>
      </c>
      <c r="BF88" s="63" t="b">
        <f t="shared" ref="BF88:BF119" si="86">AND(E88&lt;G88,OR(G88&lt;I88,I88="-"),OR(I88&lt;K88,I88="-"),OR(K88&lt;M88,K88="-"),M88&lt;O88,OR(O88&lt;Q88,Q88="-"),OR(Q88&lt;S88,Q88="-"),OR(S88&lt;U88,S88="-"),U88&lt;W88,OR(W88&lt;Y88,Y88="-"),OR(Y88&lt;AA88,Y88="-"),OR(AA88&lt;AC88,AA88="-"),AC88&lt;AE88,OR(AE88&lt;AG88,AG88="-"),OR(AG88&lt;AI88,AG88="-"),OR(AI88&lt;AK88,AI88="-"),AK88&lt;AM88,AM88&lt;AO88,AO88&lt;AQ88,AQ88&lt;AS88,AS88&lt;AU88,OR(AU88&lt;AW88,AW88="-"),OR(AW88&lt;AY88,AW88="-"))</f>
        <v>1</v>
      </c>
      <c r="BG88" s="116" t="s">
        <v>1513</v>
      </c>
      <c r="BH88" s="102" t="s">
        <v>1513</v>
      </c>
      <c r="BI88" s="102" t="s">
        <v>1513</v>
      </c>
      <c r="BJ88" s="102" t="s">
        <v>1513</v>
      </c>
      <c r="BK88" s="102" t="s">
        <v>1513</v>
      </c>
      <c r="BL88" s="102" t="s">
        <v>1513</v>
      </c>
      <c r="BM88" s="102" t="s">
        <v>1513</v>
      </c>
      <c r="BN88" s="102" t="s">
        <v>1513</v>
      </c>
      <c r="BO88" s="102" t="s">
        <v>1513</v>
      </c>
      <c r="BP88" s="102" t="s">
        <v>1513</v>
      </c>
      <c r="BQ88" s="102" t="s">
        <v>1513</v>
      </c>
      <c r="BR88" s="102" t="s">
        <v>1513</v>
      </c>
      <c r="BS88" s="116">
        <f t="shared" ref="BS88:BS119" si="87">E88</f>
        <v>6</v>
      </c>
      <c r="BT88" s="117" t="str">
        <f t="shared" ref="BT88:BT119" si="88">I88</f>
        <v>-</v>
      </c>
      <c r="BU88" s="118">
        <f t="shared" ref="BU88:BU119" si="89">M88</f>
        <v>39</v>
      </c>
      <c r="BV88" s="117">
        <f t="shared" ref="BV88:BV119" si="90">Q88</f>
        <v>71</v>
      </c>
      <c r="BW88" s="118">
        <f t="shared" ref="BW88:BW119" si="91">U88</f>
        <v>75</v>
      </c>
      <c r="BX88" s="117">
        <f t="shared" ref="BX88:BX119" si="92">Y88</f>
        <v>111</v>
      </c>
      <c r="BY88" s="118">
        <f t="shared" ref="BY88:BY119" si="93">AC88</f>
        <v>120</v>
      </c>
      <c r="BZ88" s="117">
        <f t="shared" ref="BZ88:BZ119" si="94">AG88</f>
        <v>170</v>
      </c>
      <c r="CA88" s="118">
        <f t="shared" ref="CA88:CA119" si="95">AK88</f>
        <v>176</v>
      </c>
      <c r="CB88" s="117">
        <f t="shared" ref="CB88:CB119" si="96">AO88</f>
        <v>217</v>
      </c>
      <c r="CC88" s="118">
        <f t="shared" ref="CC88:CC119" si="97">AS88</f>
        <v>255</v>
      </c>
      <c r="CD88" s="117">
        <f t="shared" ref="CD88:CD119" si="98">AW88</f>
        <v>280</v>
      </c>
      <c r="CE88" s="116">
        <f t="shared" ref="CE88:CE119" si="99">G88</f>
        <v>37</v>
      </c>
      <c r="CF88" s="117" t="str">
        <f t="shared" ref="CF88:CF119" si="100">K88</f>
        <v>-</v>
      </c>
      <c r="CG88" s="118">
        <f t="shared" ref="CG88:CG119" si="101">O88</f>
        <v>68</v>
      </c>
      <c r="CH88" s="118">
        <f t="shared" ref="CH88:CH119" si="102">S88</f>
        <v>74</v>
      </c>
      <c r="CI88" s="118">
        <f t="shared" ref="CI88:CI119" si="103">W88</f>
        <v>110</v>
      </c>
      <c r="CJ88" s="118">
        <f t="shared" ref="CJ88:CJ119" si="104">AA88</f>
        <v>118</v>
      </c>
      <c r="CK88" s="118">
        <f t="shared" ref="CK88:CK119" si="105">AE88</f>
        <v>145</v>
      </c>
      <c r="CL88" s="118">
        <f t="shared" ref="CL88:CL119" si="106">AI88</f>
        <v>172</v>
      </c>
      <c r="CM88" s="118">
        <f t="shared" ref="CM88:CM119" si="107">AM88</f>
        <v>211</v>
      </c>
      <c r="CN88" s="118">
        <f t="shared" ref="CN88:CN119" si="108">AQ88</f>
        <v>250</v>
      </c>
      <c r="CO88" s="118">
        <f t="shared" ref="CO88:CO119" si="109">AU88</f>
        <v>279</v>
      </c>
      <c r="CP88" s="118">
        <f t="shared" ref="CP88:CP119" si="110">AY88</f>
        <v>294</v>
      </c>
      <c r="CQ88" s="57" t="e">
        <f t="shared" ref="CQ88:CQ119" si="111">M88-K88</f>
        <v>#VALUE!</v>
      </c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/>
      <c r="OL88" s="16"/>
      <c r="OM88" s="16"/>
      <c r="ON88" s="16"/>
      <c r="OO88" s="16"/>
      <c r="OP88" s="16"/>
      <c r="OQ88" s="16"/>
      <c r="OR88" s="16"/>
      <c r="OS88" s="16"/>
      <c r="OT88" s="16"/>
      <c r="OU88" s="16"/>
      <c r="OV88" s="16"/>
      <c r="OW88" s="16"/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/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/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/>
      <c r="TL88" s="16"/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/>
      <c r="UC88" s="16"/>
      <c r="UD88" s="16"/>
      <c r="UE88" s="16"/>
      <c r="UF88" s="16"/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/>
      <c r="UT88" s="16"/>
      <c r="UU88" s="16"/>
      <c r="UV88" s="16"/>
      <c r="UW88" s="16"/>
      <c r="UX88" s="16"/>
      <c r="UY88" s="16"/>
      <c r="UZ88" s="16"/>
      <c r="VA88" s="16"/>
      <c r="VB88" s="16"/>
      <c r="VC88" s="16"/>
      <c r="VD88" s="16"/>
      <c r="VE88" s="16"/>
      <c r="VF88" s="16"/>
      <c r="VG88" s="16"/>
      <c r="VH88" s="16"/>
      <c r="VI88" s="16"/>
      <c r="VJ88" s="16"/>
      <c r="VK88" s="16"/>
      <c r="VL88" s="16"/>
      <c r="VM88" s="16"/>
      <c r="VN88" s="16"/>
      <c r="VO88" s="16"/>
      <c r="VP88" s="16"/>
      <c r="VQ88" s="16"/>
      <c r="VR88" s="16"/>
      <c r="VS88" s="16"/>
      <c r="VT88" s="16"/>
      <c r="VU88" s="16"/>
      <c r="VV88" s="16"/>
      <c r="VW88" s="16"/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/>
      <c r="WJ88" s="16"/>
      <c r="WK88" s="16"/>
      <c r="WL88" s="16"/>
      <c r="WM88" s="16"/>
      <c r="WN88" s="16"/>
      <c r="WO88" s="16"/>
      <c r="WP88" s="16"/>
      <c r="WQ88" s="16"/>
      <c r="WR88" s="16"/>
      <c r="WS88" s="16"/>
      <c r="WT88" s="16"/>
      <c r="WU88" s="16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/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/>
      <c r="YE88" s="16"/>
      <c r="YF88" s="16"/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16"/>
      <c r="ZL88" s="16"/>
      <c r="ZM88" s="16"/>
      <c r="ZN88" s="16"/>
      <c r="ZO88" s="16"/>
      <c r="ZP88" s="16"/>
      <c r="ZQ88" s="16"/>
      <c r="ZR88" s="16"/>
      <c r="ZS88" s="16"/>
      <c r="ZT88" s="16"/>
      <c r="ZU88" s="16"/>
      <c r="ZV88" s="16"/>
      <c r="ZW88" s="16"/>
      <c r="ZX88" s="16"/>
      <c r="ZY88" s="16"/>
      <c r="ZZ88" s="16"/>
      <c r="AAA88" s="16"/>
      <c r="AAB88" s="16"/>
      <c r="AAC88" s="16"/>
      <c r="AAD88" s="16"/>
      <c r="AAE88" s="16"/>
      <c r="AAF88" s="16"/>
      <c r="AAG88" s="16"/>
      <c r="AAH88" s="16"/>
      <c r="AAI88" s="16"/>
      <c r="AAJ88" s="16"/>
      <c r="AAK88" s="16"/>
      <c r="AAL88" s="16"/>
      <c r="AAM88" s="16"/>
      <c r="AAN88" s="16"/>
      <c r="AAO88" s="16"/>
      <c r="AAP88" s="16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/>
      <c r="ABJ88" s="16"/>
      <c r="ABK88" s="16"/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/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/>
      <c r="AFE88" s="16"/>
      <c r="AFF88" s="16"/>
      <c r="AFG88" s="16"/>
      <c r="AFH88" s="16"/>
      <c r="AFI88" s="16"/>
      <c r="AFJ88" s="16"/>
      <c r="AFK88" s="16"/>
      <c r="AFL88" s="16"/>
      <c r="AFM88" s="16"/>
      <c r="AFN88" s="16"/>
      <c r="AFO88" s="16"/>
      <c r="AFP88" s="16"/>
      <c r="AFQ88" s="16"/>
      <c r="AFR88" s="16"/>
      <c r="AFS88" s="16"/>
      <c r="AFT88" s="16"/>
      <c r="AFU88" s="16"/>
      <c r="AFV88" s="16"/>
      <c r="AFW88" s="16"/>
      <c r="AFX88" s="16"/>
      <c r="AFY88" s="16"/>
      <c r="AFZ88" s="16"/>
      <c r="AGA88" s="16"/>
      <c r="AGB88" s="16"/>
      <c r="AGC88" s="16"/>
      <c r="AGD88" s="16"/>
      <c r="AGE88" s="16"/>
      <c r="AGF88" s="16"/>
      <c r="AGG88" s="16"/>
      <c r="AGH88" s="16"/>
      <c r="AGI88" s="16"/>
      <c r="AGJ88" s="16"/>
      <c r="AGK88" s="16"/>
      <c r="AGL88" s="16"/>
      <c r="AGM88" s="16"/>
      <c r="AGN88" s="16"/>
      <c r="AGO88" s="16"/>
      <c r="AGP88" s="16"/>
      <c r="AGQ88" s="16"/>
      <c r="AGR88" s="16"/>
      <c r="AGS88" s="16"/>
      <c r="AGT88" s="16"/>
      <c r="AGU88" s="16"/>
      <c r="AGV88" s="16"/>
      <c r="AGW88" s="16"/>
      <c r="AGX88" s="16"/>
      <c r="AGY88" s="16"/>
      <c r="AGZ88" s="16"/>
      <c r="AHA88" s="16"/>
      <c r="AHB88" s="16"/>
      <c r="AHC88" s="16"/>
      <c r="AHD88" s="16"/>
      <c r="AHE88" s="16"/>
      <c r="AHF88" s="16"/>
      <c r="AHG88" s="16"/>
      <c r="AHH88" s="16"/>
      <c r="AHI88" s="16"/>
      <c r="AHJ88" s="16"/>
      <c r="AHK88" s="16"/>
      <c r="AHL88" s="16"/>
      <c r="AHM88" s="16"/>
      <c r="AHN88" s="16"/>
      <c r="AHO88" s="16"/>
      <c r="AHP88" s="16"/>
      <c r="AHQ88" s="16"/>
      <c r="AHR88" s="16"/>
      <c r="AHS88" s="16"/>
      <c r="AHT88" s="16"/>
      <c r="AHU88" s="16"/>
      <c r="AHV88" s="16"/>
      <c r="AHW88" s="16"/>
      <c r="AHX88" s="16"/>
      <c r="AHY88" s="16"/>
      <c r="AHZ88" s="16"/>
      <c r="AIA88" s="16"/>
      <c r="AIB88" s="16"/>
      <c r="AIC88" s="16"/>
      <c r="AID88" s="16"/>
      <c r="AIE88" s="16"/>
      <c r="AIF88" s="16"/>
      <c r="AIG88" s="16"/>
      <c r="AIH88" s="16"/>
      <c r="AII88" s="16"/>
      <c r="AIJ88" s="16"/>
      <c r="AIK88" s="16"/>
      <c r="AIL88" s="16"/>
      <c r="AIM88" s="16"/>
      <c r="AIN88" s="16"/>
      <c r="AIO88" s="16"/>
      <c r="AIP88" s="16"/>
      <c r="AIQ88" s="16"/>
      <c r="AIR88" s="16"/>
      <c r="AIS88" s="16"/>
      <c r="AIT88" s="16"/>
      <c r="AIU88" s="16"/>
      <c r="AIV88" s="16"/>
      <c r="AIW88" s="16"/>
      <c r="AIX88" s="16"/>
      <c r="AIY88" s="16"/>
      <c r="AIZ88" s="16"/>
      <c r="AJA88" s="16"/>
      <c r="AJB88" s="16"/>
      <c r="AJC88" s="16"/>
      <c r="AJD88" s="16"/>
      <c r="AJE88" s="16"/>
      <c r="AJF88" s="16"/>
      <c r="AJG88" s="16"/>
      <c r="AJH88" s="16"/>
      <c r="AJI88" s="16"/>
      <c r="AJJ88" s="16"/>
      <c r="AJK88" s="16"/>
      <c r="AJL88" s="16"/>
      <c r="AJM88" s="16"/>
      <c r="AJN88" s="16"/>
      <c r="AJO88" s="16"/>
      <c r="AJP88" s="16"/>
      <c r="AJQ88" s="16"/>
      <c r="AJR88" s="16"/>
      <c r="AJS88" s="16"/>
      <c r="AJT88" s="16"/>
      <c r="AJU88" s="16"/>
      <c r="AJV88" s="16"/>
      <c r="AJW88" s="16"/>
      <c r="AJX88" s="16"/>
      <c r="AJY88" s="16"/>
      <c r="AJZ88" s="16"/>
      <c r="AKA88" s="16"/>
      <c r="AKB88" s="16"/>
      <c r="AKC88" s="16"/>
      <c r="AKD88" s="16"/>
      <c r="AKE88" s="16"/>
      <c r="AKF88" s="16"/>
      <c r="AKG88" s="16"/>
      <c r="AKH88" s="16"/>
      <c r="AKI88" s="16"/>
      <c r="AKJ88" s="16"/>
      <c r="AKK88" s="16"/>
      <c r="AKL88" s="16"/>
      <c r="AKM88" s="16"/>
      <c r="AKN88" s="16"/>
      <c r="AKO88" s="16"/>
      <c r="AKP88" s="16"/>
      <c r="AKQ88" s="16"/>
      <c r="AKR88" s="16"/>
      <c r="AKS88" s="16"/>
      <c r="AKT88" s="16"/>
      <c r="AKU88" s="16"/>
      <c r="AKV88" s="16"/>
      <c r="AKW88" s="16"/>
      <c r="AKX88" s="16"/>
      <c r="AKY88" s="16"/>
      <c r="AKZ88" s="16"/>
      <c r="ALA88" s="16"/>
      <c r="ALB88" s="16"/>
      <c r="ALC88" s="16"/>
      <c r="ALD88" s="16"/>
      <c r="ALE88" s="16"/>
      <c r="ALF88" s="16"/>
      <c r="ALG88" s="16"/>
      <c r="ALH88" s="16"/>
      <c r="ALI88" s="16"/>
      <c r="ALJ88" s="16"/>
      <c r="ALK88" s="16"/>
      <c r="ALL88" s="16"/>
      <c r="ALM88" s="16"/>
      <c r="ALN88" s="16"/>
      <c r="ALO88" s="16"/>
      <c r="ALP88" s="16"/>
      <c r="ALQ88" s="16"/>
      <c r="ALR88" s="16"/>
      <c r="ALS88" s="16"/>
      <c r="ALT88" s="16"/>
      <c r="ALU88" s="16"/>
      <c r="ALV88" s="16"/>
      <c r="ALW88" s="16"/>
      <c r="ALX88" s="16"/>
      <c r="ALY88" s="16"/>
      <c r="ALZ88" s="16"/>
      <c r="AMA88" s="16"/>
      <c r="AMB88" s="16"/>
      <c r="AMC88" s="16"/>
      <c r="AMD88" s="16"/>
      <c r="AME88" s="16"/>
      <c r="AMF88" s="16"/>
      <c r="AMG88" s="16"/>
      <c r="AMH88" s="16"/>
      <c r="AMI88" s="16"/>
      <c r="AMJ88" s="16"/>
      <c r="AMK88" s="16"/>
      <c r="AML88" s="16"/>
    </row>
    <row r="89" spans="1:1026" x14ac:dyDescent="0.2">
      <c r="A89" s="3" t="str">
        <f t="shared" si="84"/>
        <v>ffar1_human_4PHU</v>
      </c>
      <c r="B89" s="3" t="s">
        <v>1391</v>
      </c>
      <c r="C89" s="3" t="s">
        <v>240</v>
      </c>
      <c r="D89" s="3" t="str">
        <f>IFERROR(MID(VLOOKUP($B89,Seqs!$A:$B,2,0),E89,1),"")</f>
        <v>Q</v>
      </c>
      <c r="E89" s="3">
        <v>6</v>
      </c>
      <c r="F89" s="3" t="str">
        <f>IFERROR(MID(VLOOKUP($B89,Seqs!$A:$B,2,0),G89,1),"")</f>
        <v>R</v>
      </c>
      <c r="G89" s="3">
        <v>37</v>
      </c>
      <c r="H89" s="3" t="str">
        <f>IFERROR(MID(VLOOKUP($B89,Seqs!$A:$B,2,0),I89,1),"")</f>
        <v/>
      </c>
      <c r="I89" s="57" t="s">
        <v>129</v>
      </c>
      <c r="J89" s="3" t="str">
        <f>IFERROR(MID(VLOOKUP($B89,Seqs!$A:$B,2,0),K89,1),"")</f>
        <v/>
      </c>
      <c r="K89" s="57" t="s">
        <v>129</v>
      </c>
      <c r="L89" s="3" t="str">
        <f>IFERROR(MID(VLOOKUP($B89,Seqs!$A:$B,2,0),M89,1),"")</f>
        <v>T</v>
      </c>
      <c r="M89" s="3">
        <v>39</v>
      </c>
      <c r="N89" s="3" t="str">
        <f>IFERROR(MID(VLOOKUP($B89,Seqs!$A:$B,2,0),O89,1),"")</f>
        <v>A</v>
      </c>
      <c r="O89" s="3">
        <v>68</v>
      </c>
      <c r="P89" s="3" t="str">
        <f>IFERROR(MID(VLOOKUP($B89,Seqs!$A:$B,2,0),Q89,1),"")</f>
        <v>A</v>
      </c>
      <c r="Q89" s="3">
        <v>71</v>
      </c>
      <c r="R89" s="3" t="str">
        <f>IFERROR(MID(VLOOKUP($B89,Seqs!$A:$B,2,0),S89,1),"")</f>
        <v>L</v>
      </c>
      <c r="S89" s="3">
        <v>74</v>
      </c>
      <c r="T89" s="3" t="str">
        <f>IFERROR(MID(VLOOKUP($B89,Seqs!$A:$B,2,0),U89,1),"")</f>
        <v>P</v>
      </c>
      <c r="U89" s="3">
        <v>75</v>
      </c>
      <c r="V89" s="3" t="str">
        <f>IFERROR(MID(VLOOKUP($B89,Seqs!$A:$B,2,0),W89,1),"")</f>
        <v>F</v>
      </c>
      <c r="W89" s="3">
        <v>110</v>
      </c>
      <c r="X89" s="3" t="str">
        <f>IFERROR(MID(VLOOKUP($B89,Seqs!$A:$B,2,0),Y89,1),"")</f>
        <v/>
      </c>
      <c r="Y89" s="3" t="s">
        <v>129</v>
      </c>
      <c r="Z89" s="3" t="str">
        <f>IFERROR(MID(VLOOKUP($B89,Seqs!$A:$B,2,0),AA89,1),"")</f>
        <v/>
      </c>
      <c r="AA89" s="3" t="s">
        <v>129</v>
      </c>
      <c r="AB89" s="3" t="str">
        <f>IFERROR(MID(VLOOKUP($B89,Seqs!$A:$B,2,0),AC89,1),"")</f>
        <v>P</v>
      </c>
      <c r="AC89" s="3">
        <v>120</v>
      </c>
      <c r="AD89" s="3" t="str">
        <f>IFERROR(MID(VLOOKUP($B89,Seqs!$A:$B,2,0),AE89,1),"")</f>
        <v>E</v>
      </c>
      <c r="AE89" s="3">
        <v>145</v>
      </c>
      <c r="AF89" s="3" t="str">
        <f>IFERROR(MID(VLOOKUP($B89,Seqs!$A:$B,2,0),AG89,1),"")</f>
        <v>C</v>
      </c>
      <c r="AG89" s="3">
        <v>170</v>
      </c>
      <c r="AH89" s="3" t="str">
        <f>IFERROR(MID(VLOOKUP($B89,Seqs!$A:$B,2,0),AI89,1),"")</f>
        <v>E</v>
      </c>
      <c r="AI89" s="3">
        <v>172</v>
      </c>
      <c r="AJ89" s="3" t="str">
        <f>IFERROR(MID(VLOOKUP($B89,Seqs!$A:$B,2,0),AK89,1),"")</f>
        <v>P</v>
      </c>
      <c r="AK89" s="3">
        <v>176</v>
      </c>
      <c r="AL89" s="3" t="str">
        <f>IFERROR(MID(VLOOKUP($B89,Seqs!$A:$B,2,0),AM89,1),"")</f>
        <v>A</v>
      </c>
      <c r="AM89" s="3">
        <v>210</v>
      </c>
      <c r="AN89" s="3" t="str">
        <f>IFERROR(MID(VLOOKUP($B89,Seqs!$A:$B,2,0),AO89,1),"")</f>
        <v>L</v>
      </c>
      <c r="AO89" s="3">
        <v>214</v>
      </c>
      <c r="AP89" s="3" t="str">
        <f>IFERROR(MID(VLOOKUP($B89,Seqs!$A:$B,2,0),AQ89,1),"")</f>
        <v>Y</v>
      </c>
      <c r="AQ89" s="3">
        <v>250</v>
      </c>
      <c r="AR89" s="3" t="str">
        <f>IFERROR(MID(VLOOKUP($B89,Seqs!$A:$B,2,0),AS89,1),"")</f>
        <v>G</v>
      </c>
      <c r="AS89" s="3">
        <v>255</v>
      </c>
      <c r="AT89" s="3" t="str">
        <f>IFERROR(MID(VLOOKUP($B89,Seqs!$A:$B,2,0),AU89,1),"")</f>
        <v>L</v>
      </c>
      <c r="AU89" s="3">
        <v>274</v>
      </c>
      <c r="AV89" s="3" t="str">
        <f>IFERROR(MID(VLOOKUP($B89,Seqs!$A:$B,2,0),AW89,1),"")</f>
        <v/>
      </c>
      <c r="AW89" s="3" t="s">
        <v>129</v>
      </c>
      <c r="AX89" s="3" t="str">
        <f>IFERROR(MID(VLOOKUP($B89,Seqs!$A:$B,2,0),AY89,1),"")</f>
        <v/>
      </c>
      <c r="AY89" s="3" t="s">
        <v>129</v>
      </c>
      <c r="BA89" s="124" t="str">
        <f>VLOOKUP(B89,Classification!A:D,2,0)</f>
        <v>A</v>
      </c>
      <c r="BC89" s="1"/>
      <c r="BD89" s="4"/>
      <c r="BE89" s="57">
        <f t="shared" si="85"/>
        <v>226</v>
      </c>
      <c r="BF89" s="63" t="b">
        <f t="shared" si="86"/>
        <v>1</v>
      </c>
      <c r="BG89" s="116" t="s">
        <v>1513</v>
      </c>
      <c r="BH89" s="102" t="s">
        <v>1513</v>
      </c>
      <c r="BI89" s="102" t="s">
        <v>1513</v>
      </c>
      <c r="BJ89" s="102" t="s">
        <v>1513</v>
      </c>
      <c r="BK89" s="102" t="s">
        <v>1513</v>
      </c>
      <c r="BL89" s="102" t="s">
        <v>1513</v>
      </c>
      <c r="BM89" s="102" t="s">
        <v>1513</v>
      </c>
      <c r="BN89" s="102" t="s">
        <v>1513</v>
      </c>
      <c r="BO89" s="102" t="s">
        <v>1513</v>
      </c>
      <c r="BP89" s="102" t="s">
        <v>1513</v>
      </c>
      <c r="BQ89" s="102" t="s">
        <v>1513</v>
      </c>
      <c r="BR89" s="102" t="s">
        <v>1513</v>
      </c>
      <c r="BS89" s="116">
        <f t="shared" si="87"/>
        <v>6</v>
      </c>
      <c r="BT89" s="117" t="str">
        <f t="shared" si="88"/>
        <v>-</v>
      </c>
      <c r="BU89" s="118">
        <f t="shared" si="89"/>
        <v>39</v>
      </c>
      <c r="BV89" s="117">
        <f t="shared" si="90"/>
        <v>71</v>
      </c>
      <c r="BW89" s="118">
        <f t="shared" si="91"/>
        <v>75</v>
      </c>
      <c r="BX89" s="117" t="str">
        <f t="shared" si="92"/>
        <v>-</v>
      </c>
      <c r="BY89" s="118">
        <f t="shared" si="93"/>
        <v>120</v>
      </c>
      <c r="BZ89" s="117">
        <f t="shared" si="94"/>
        <v>170</v>
      </c>
      <c r="CA89" s="118">
        <f t="shared" si="95"/>
        <v>176</v>
      </c>
      <c r="CB89" s="117">
        <f t="shared" si="96"/>
        <v>214</v>
      </c>
      <c r="CC89" s="118">
        <f t="shared" si="97"/>
        <v>255</v>
      </c>
      <c r="CD89" s="117" t="str">
        <f t="shared" si="98"/>
        <v>-</v>
      </c>
      <c r="CE89" s="116">
        <f t="shared" si="99"/>
        <v>37</v>
      </c>
      <c r="CF89" s="117" t="str">
        <f t="shared" si="100"/>
        <v>-</v>
      </c>
      <c r="CG89" s="118">
        <f t="shared" si="101"/>
        <v>68</v>
      </c>
      <c r="CH89" s="118">
        <f t="shared" si="102"/>
        <v>74</v>
      </c>
      <c r="CI89" s="118">
        <f t="shared" si="103"/>
        <v>110</v>
      </c>
      <c r="CJ89" s="118" t="str">
        <f t="shared" si="104"/>
        <v>-</v>
      </c>
      <c r="CK89" s="118">
        <f t="shared" si="105"/>
        <v>145</v>
      </c>
      <c r="CL89" s="118">
        <f t="shared" si="106"/>
        <v>172</v>
      </c>
      <c r="CM89" s="118">
        <f t="shared" si="107"/>
        <v>210</v>
      </c>
      <c r="CN89" s="118">
        <f t="shared" si="108"/>
        <v>250</v>
      </c>
      <c r="CO89" s="118">
        <f t="shared" si="109"/>
        <v>274</v>
      </c>
      <c r="CP89" s="118" t="str">
        <f t="shared" si="110"/>
        <v>-</v>
      </c>
      <c r="CQ89" s="57" t="e">
        <f t="shared" si="111"/>
        <v>#VALUE!</v>
      </c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/>
      <c r="NN89" s="16"/>
      <c r="NO89" s="16"/>
      <c r="NP89" s="16"/>
      <c r="NQ89" s="16"/>
      <c r="NR89" s="16"/>
      <c r="NS89" s="16"/>
      <c r="NT89" s="16"/>
      <c r="NU89" s="16"/>
      <c r="NV89" s="16"/>
      <c r="NW89" s="16"/>
      <c r="NX89" s="16"/>
      <c r="NY89" s="16"/>
      <c r="NZ89" s="16"/>
      <c r="OA89" s="16"/>
      <c r="OB89" s="16"/>
      <c r="OC89" s="16"/>
      <c r="OD89" s="16"/>
      <c r="OE89" s="16"/>
      <c r="OF89" s="16"/>
      <c r="OG89" s="16"/>
      <c r="OH89" s="16"/>
      <c r="OI89" s="16"/>
      <c r="OJ89" s="16"/>
      <c r="OK89" s="16"/>
      <c r="OL89" s="16"/>
      <c r="OM89" s="16"/>
      <c r="ON89" s="16"/>
      <c r="OO89" s="16"/>
      <c r="OP89" s="16"/>
      <c r="OQ89" s="16"/>
      <c r="OR89" s="16"/>
      <c r="OS89" s="16"/>
      <c r="OT89" s="16"/>
      <c r="OU89" s="16"/>
      <c r="OV89" s="16"/>
      <c r="OW89" s="16"/>
      <c r="OX89" s="16"/>
      <c r="OY89" s="16"/>
      <c r="OZ89" s="16"/>
      <c r="PA89" s="16"/>
      <c r="PB89" s="16"/>
      <c r="PC89" s="16"/>
      <c r="PD89" s="16"/>
      <c r="PE89" s="16"/>
      <c r="PF89" s="16"/>
      <c r="PG89" s="16"/>
      <c r="PH89" s="16"/>
      <c r="PI89" s="16"/>
      <c r="PJ89" s="16"/>
      <c r="PK89" s="16"/>
      <c r="PL89" s="16"/>
      <c r="PM89" s="16"/>
      <c r="PN89" s="16"/>
      <c r="PO89" s="16"/>
      <c r="PP89" s="16"/>
      <c r="PQ89" s="16"/>
      <c r="PR89" s="16"/>
      <c r="PS89" s="16"/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16"/>
      <c r="QK89" s="16"/>
      <c r="QL89" s="16"/>
      <c r="QM89" s="16"/>
      <c r="QN89" s="16"/>
      <c r="QO89" s="16"/>
      <c r="QP89" s="16"/>
      <c r="QQ89" s="16"/>
      <c r="QR89" s="16"/>
      <c r="QS89" s="16"/>
      <c r="QT89" s="16"/>
      <c r="QU89" s="16"/>
      <c r="QV89" s="16"/>
      <c r="QW89" s="16"/>
      <c r="QX89" s="16"/>
      <c r="QY89" s="16"/>
      <c r="QZ89" s="16"/>
      <c r="RA89" s="16"/>
      <c r="RB89" s="16"/>
      <c r="RC89" s="16"/>
      <c r="RD89" s="16"/>
      <c r="RE89" s="16"/>
      <c r="RF89" s="16"/>
      <c r="RG89" s="16"/>
      <c r="RH89" s="16"/>
      <c r="RI89" s="16"/>
      <c r="RJ89" s="16"/>
      <c r="RK89" s="16"/>
      <c r="RL89" s="16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/>
      <c r="TL89" s="16"/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/>
      <c r="UC89" s="16"/>
      <c r="UD89" s="16"/>
      <c r="UE89" s="16"/>
      <c r="UF89" s="16"/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/>
      <c r="UT89" s="16"/>
      <c r="UU89" s="16"/>
      <c r="UV89" s="16"/>
      <c r="UW89" s="16"/>
      <c r="UX89" s="16"/>
      <c r="UY89" s="16"/>
      <c r="UZ89" s="16"/>
      <c r="VA89" s="16"/>
      <c r="VB89" s="16"/>
      <c r="VC89" s="16"/>
      <c r="VD89" s="16"/>
      <c r="VE89" s="16"/>
      <c r="VF89" s="16"/>
      <c r="VG89" s="16"/>
      <c r="VH89" s="16"/>
      <c r="VI89" s="16"/>
      <c r="VJ89" s="16"/>
      <c r="VK89" s="16"/>
      <c r="VL89" s="16"/>
      <c r="VM89" s="16"/>
      <c r="VN89" s="16"/>
      <c r="VO89" s="16"/>
      <c r="VP89" s="16"/>
      <c r="VQ89" s="16"/>
      <c r="VR89" s="16"/>
      <c r="VS89" s="16"/>
      <c r="VT89" s="16"/>
      <c r="VU89" s="16"/>
      <c r="VV89" s="16"/>
      <c r="VW89" s="16"/>
      <c r="VX89" s="16"/>
      <c r="VY89" s="16"/>
      <c r="VZ89" s="16"/>
      <c r="WA89" s="16"/>
      <c r="WB89" s="16"/>
      <c r="WC89" s="16"/>
      <c r="WD89" s="16"/>
      <c r="WE89" s="16"/>
      <c r="WF89" s="16"/>
      <c r="WG89" s="16"/>
      <c r="WH89" s="16"/>
      <c r="WI89" s="16"/>
      <c r="WJ89" s="16"/>
      <c r="WK89" s="16"/>
      <c r="WL89" s="16"/>
      <c r="WM89" s="16"/>
      <c r="WN89" s="16"/>
      <c r="WO89" s="16"/>
      <c r="WP89" s="16"/>
      <c r="WQ89" s="16"/>
      <c r="WR89" s="16"/>
      <c r="WS89" s="16"/>
      <c r="WT89" s="16"/>
      <c r="WU89" s="16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/>
      <c r="XR89" s="16"/>
      <c r="XS89" s="16"/>
      <c r="XT89" s="16"/>
      <c r="XU89" s="16"/>
      <c r="XV89" s="16"/>
      <c r="XW89" s="16"/>
      <c r="XX89" s="16"/>
      <c r="XY89" s="16"/>
      <c r="XZ89" s="16"/>
      <c r="YA89" s="16"/>
      <c r="YB89" s="16"/>
      <c r="YC89" s="16"/>
      <c r="YD89" s="16"/>
      <c r="YE89" s="16"/>
      <c r="YF89" s="16"/>
      <c r="YG89" s="16"/>
      <c r="YH89" s="16"/>
      <c r="YI89" s="16"/>
      <c r="YJ89" s="16"/>
      <c r="YK89" s="16"/>
      <c r="YL89" s="16"/>
      <c r="YM89" s="16"/>
      <c r="YN89" s="16"/>
      <c r="YO89" s="16"/>
      <c r="YP89" s="16"/>
      <c r="YQ89" s="16"/>
      <c r="YR89" s="16"/>
      <c r="YS89" s="16"/>
      <c r="YT89" s="16"/>
      <c r="YU89" s="16"/>
      <c r="YV89" s="16"/>
      <c r="YW89" s="16"/>
      <c r="YX89" s="16"/>
      <c r="YY89" s="16"/>
      <c r="YZ89" s="16"/>
      <c r="ZA89" s="16"/>
      <c r="ZB89" s="16"/>
      <c r="ZC89" s="16"/>
      <c r="ZD89" s="16"/>
      <c r="ZE89" s="16"/>
      <c r="ZF89" s="16"/>
      <c r="ZG89" s="16"/>
      <c r="ZH89" s="16"/>
      <c r="ZI89" s="16"/>
      <c r="ZJ89" s="16"/>
      <c r="ZK89" s="16"/>
      <c r="ZL89" s="16"/>
      <c r="ZM89" s="16"/>
      <c r="ZN89" s="16"/>
      <c r="ZO89" s="16"/>
      <c r="ZP89" s="16"/>
      <c r="ZQ89" s="16"/>
      <c r="ZR89" s="16"/>
      <c r="ZS89" s="16"/>
      <c r="ZT89" s="16"/>
      <c r="ZU89" s="16"/>
      <c r="ZV89" s="16"/>
      <c r="ZW89" s="16"/>
      <c r="ZX89" s="16"/>
      <c r="ZY89" s="16"/>
      <c r="ZZ89" s="16"/>
      <c r="AAA89" s="16"/>
      <c r="AAB89" s="16"/>
      <c r="AAC89" s="16"/>
      <c r="AAD89" s="16"/>
      <c r="AAE89" s="16"/>
      <c r="AAF89" s="16"/>
      <c r="AAG89" s="16"/>
      <c r="AAH89" s="16"/>
      <c r="AAI89" s="16"/>
      <c r="AAJ89" s="16"/>
      <c r="AAK89" s="16"/>
      <c r="AAL89" s="16"/>
      <c r="AAM89" s="16"/>
      <c r="AAN89" s="16"/>
      <c r="AAO89" s="16"/>
      <c r="AAP89" s="16"/>
      <c r="AAQ89" s="16"/>
      <c r="AAR89" s="16"/>
      <c r="AAS89" s="16"/>
      <c r="AAT89" s="16"/>
      <c r="AAU89" s="16"/>
      <c r="AAV89" s="16"/>
      <c r="AAW89" s="16"/>
      <c r="AAX89" s="16"/>
      <c r="AAY89" s="16"/>
      <c r="AAZ89" s="16"/>
      <c r="ABA89" s="16"/>
      <c r="ABB89" s="16"/>
      <c r="ABC89" s="16"/>
      <c r="ABD89" s="16"/>
      <c r="ABE89" s="16"/>
      <c r="ABF89" s="16"/>
      <c r="ABG89" s="16"/>
      <c r="ABH89" s="16"/>
      <c r="ABI89" s="16"/>
      <c r="ABJ89" s="16"/>
      <c r="ABK89" s="16"/>
      <c r="ABL89" s="16"/>
      <c r="ABM89" s="16"/>
      <c r="ABN89" s="16"/>
      <c r="ABO89" s="16"/>
      <c r="ABP89" s="16"/>
      <c r="ABQ89" s="16"/>
      <c r="ABR89" s="16"/>
      <c r="ABS89" s="16"/>
      <c r="ABT89" s="16"/>
      <c r="ABU89" s="16"/>
      <c r="ABV89" s="16"/>
      <c r="ABW89" s="16"/>
      <c r="ABX89" s="16"/>
      <c r="ABY89" s="16"/>
      <c r="ABZ89" s="16"/>
      <c r="ACA89" s="16"/>
      <c r="ACB89" s="16"/>
      <c r="ACC89" s="16"/>
      <c r="ACD89" s="16"/>
      <c r="ACE89" s="16"/>
      <c r="ACF89" s="16"/>
      <c r="ACG89" s="16"/>
      <c r="ACH89" s="16"/>
      <c r="ACI89" s="16"/>
      <c r="ACJ89" s="16"/>
      <c r="ACK89" s="16"/>
      <c r="ACL89" s="16"/>
      <c r="ACM89" s="16"/>
      <c r="ACN89" s="16"/>
      <c r="ACO89" s="16"/>
      <c r="ACP89" s="16"/>
      <c r="ACQ89" s="16"/>
      <c r="ACR89" s="16"/>
      <c r="ACS89" s="16"/>
      <c r="ACT89" s="16"/>
      <c r="ACU89" s="16"/>
      <c r="ACV89" s="16"/>
      <c r="ACW89" s="16"/>
      <c r="ACX89" s="16"/>
      <c r="ACY89" s="16"/>
      <c r="ACZ89" s="16"/>
      <c r="ADA89" s="16"/>
      <c r="ADB89" s="16"/>
      <c r="ADC89" s="16"/>
      <c r="ADD89" s="16"/>
      <c r="ADE89" s="16"/>
      <c r="ADF89" s="16"/>
      <c r="ADG89" s="16"/>
      <c r="ADH89" s="16"/>
      <c r="ADI89" s="16"/>
      <c r="ADJ89" s="16"/>
      <c r="ADK89" s="16"/>
      <c r="ADL89" s="16"/>
      <c r="ADM89" s="16"/>
      <c r="ADN89" s="16"/>
      <c r="ADO89" s="16"/>
      <c r="ADP89" s="16"/>
      <c r="ADQ89" s="16"/>
      <c r="ADR89" s="16"/>
      <c r="ADS89" s="16"/>
      <c r="ADT89" s="16"/>
      <c r="ADU89" s="16"/>
      <c r="ADV89" s="16"/>
      <c r="ADW89" s="16"/>
      <c r="ADX89" s="16"/>
      <c r="ADY89" s="16"/>
      <c r="ADZ89" s="16"/>
      <c r="AEA89" s="16"/>
      <c r="AEB89" s="16"/>
      <c r="AEC89" s="16"/>
      <c r="AED89" s="16"/>
      <c r="AEE89" s="16"/>
      <c r="AEF89" s="16"/>
      <c r="AEG89" s="16"/>
      <c r="AEH89" s="16"/>
      <c r="AEI89" s="16"/>
      <c r="AEJ89" s="16"/>
      <c r="AEK89" s="16"/>
      <c r="AEL89" s="16"/>
      <c r="AEM89" s="16"/>
      <c r="AEN89" s="16"/>
      <c r="AEO89" s="16"/>
      <c r="AEP89" s="16"/>
      <c r="AEQ89" s="16"/>
      <c r="AER89" s="16"/>
      <c r="AES89" s="16"/>
      <c r="AET89" s="16"/>
      <c r="AEU89" s="16"/>
      <c r="AEV89" s="16"/>
      <c r="AEW89" s="16"/>
      <c r="AEX89" s="16"/>
      <c r="AEY89" s="16"/>
      <c r="AEZ89" s="16"/>
      <c r="AFA89" s="16"/>
      <c r="AFB89" s="16"/>
      <c r="AFC89" s="16"/>
      <c r="AFD89" s="16"/>
      <c r="AFE89" s="16"/>
      <c r="AFF89" s="16"/>
      <c r="AFG89" s="16"/>
      <c r="AFH89" s="16"/>
      <c r="AFI89" s="16"/>
      <c r="AFJ89" s="16"/>
      <c r="AFK89" s="16"/>
      <c r="AFL89" s="16"/>
      <c r="AFM89" s="16"/>
      <c r="AFN89" s="16"/>
      <c r="AFO89" s="16"/>
      <c r="AFP89" s="16"/>
      <c r="AFQ89" s="16"/>
      <c r="AFR89" s="16"/>
      <c r="AFS89" s="16"/>
      <c r="AFT89" s="16"/>
      <c r="AFU89" s="16"/>
      <c r="AFV89" s="16"/>
      <c r="AFW89" s="16"/>
      <c r="AFX89" s="16"/>
      <c r="AFY89" s="16"/>
      <c r="AFZ89" s="16"/>
      <c r="AGA89" s="16"/>
      <c r="AGB89" s="16"/>
      <c r="AGC89" s="16"/>
      <c r="AGD89" s="16"/>
      <c r="AGE89" s="16"/>
      <c r="AGF89" s="16"/>
      <c r="AGG89" s="16"/>
      <c r="AGH89" s="16"/>
      <c r="AGI89" s="16"/>
      <c r="AGJ89" s="16"/>
      <c r="AGK89" s="16"/>
      <c r="AGL89" s="16"/>
      <c r="AGM89" s="16"/>
      <c r="AGN89" s="16"/>
      <c r="AGO89" s="16"/>
      <c r="AGP89" s="16"/>
      <c r="AGQ89" s="16"/>
      <c r="AGR89" s="16"/>
      <c r="AGS89" s="16"/>
      <c r="AGT89" s="16"/>
      <c r="AGU89" s="16"/>
      <c r="AGV89" s="16"/>
      <c r="AGW89" s="16"/>
      <c r="AGX89" s="16"/>
      <c r="AGY89" s="16"/>
      <c r="AGZ89" s="16"/>
      <c r="AHA89" s="16"/>
      <c r="AHB89" s="16"/>
      <c r="AHC89" s="16"/>
      <c r="AHD89" s="16"/>
      <c r="AHE89" s="16"/>
      <c r="AHF89" s="16"/>
      <c r="AHG89" s="16"/>
      <c r="AHH89" s="16"/>
      <c r="AHI89" s="16"/>
      <c r="AHJ89" s="16"/>
      <c r="AHK89" s="16"/>
      <c r="AHL89" s="16"/>
      <c r="AHM89" s="16"/>
      <c r="AHN89" s="16"/>
      <c r="AHO89" s="16"/>
      <c r="AHP89" s="16"/>
      <c r="AHQ89" s="16"/>
      <c r="AHR89" s="16"/>
      <c r="AHS89" s="16"/>
      <c r="AHT89" s="16"/>
      <c r="AHU89" s="16"/>
      <c r="AHV89" s="16"/>
      <c r="AHW89" s="16"/>
      <c r="AHX89" s="16"/>
      <c r="AHY89" s="16"/>
      <c r="AHZ89" s="16"/>
      <c r="AIA89" s="16"/>
      <c r="AIB89" s="16"/>
      <c r="AIC89" s="16"/>
      <c r="AID89" s="16"/>
      <c r="AIE89" s="16"/>
      <c r="AIF89" s="16"/>
      <c r="AIG89" s="16"/>
      <c r="AIH89" s="16"/>
      <c r="AII89" s="16"/>
      <c r="AIJ89" s="16"/>
      <c r="AIK89" s="16"/>
      <c r="AIL89" s="16"/>
      <c r="AIM89" s="16"/>
      <c r="AIN89" s="16"/>
      <c r="AIO89" s="16"/>
      <c r="AIP89" s="16"/>
      <c r="AIQ89" s="16"/>
      <c r="AIR89" s="16"/>
      <c r="AIS89" s="16"/>
      <c r="AIT89" s="16"/>
      <c r="AIU89" s="16"/>
      <c r="AIV89" s="16"/>
      <c r="AIW89" s="16"/>
      <c r="AIX89" s="16"/>
      <c r="AIY89" s="16"/>
      <c r="AIZ89" s="16"/>
      <c r="AJA89" s="16"/>
      <c r="AJB89" s="16"/>
      <c r="AJC89" s="16"/>
      <c r="AJD89" s="16"/>
      <c r="AJE89" s="16"/>
      <c r="AJF89" s="16"/>
      <c r="AJG89" s="16"/>
      <c r="AJH89" s="16"/>
      <c r="AJI89" s="16"/>
      <c r="AJJ89" s="16"/>
      <c r="AJK89" s="16"/>
      <c r="AJL89" s="16"/>
      <c r="AJM89" s="16"/>
      <c r="AJN89" s="16"/>
      <c r="AJO89" s="16"/>
      <c r="AJP89" s="16"/>
      <c r="AJQ89" s="16"/>
      <c r="AJR89" s="16"/>
      <c r="AJS89" s="16"/>
      <c r="AJT89" s="16"/>
      <c r="AJU89" s="16"/>
      <c r="AJV89" s="16"/>
      <c r="AJW89" s="16"/>
      <c r="AJX89" s="16"/>
      <c r="AJY89" s="16"/>
      <c r="AJZ89" s="16"/>
      <c r="AKA89" s="16"/>
      <c r="AKB89" s="16"/>
      <c r="AKC89" s="16"/>
      <c r="AKD89" s="16"/>
      <c r="AKE89" s="16"/>
      <c r="AKF89" s="16"/>
      <c r="AKG89" s="16"/>
      <c r="AKH89" s="16"/>
      <c r="AKI89" s="16"/>
      <c r="AKJ89" s="16"/>
      <c r="AKK89" s="16"/>
      <c r="AKL89" s="16"/>
      <c r="AKM89" s="16"/>
      <c r="AKN89" s="16"/>
      <c r="AKO89" s="16"/>
      <c r="AKP89" s="16"/>
      <c r="AKQ89" s="16"/>
      <c r="AKR89" s="16"/>
      <c r="AKS89" s="16"/>
      <c r="AKT89" s="16"/>
      <c r="AKU89" s="16"/>
      <c r="AKV89" s="16"/>
      <c r="AKW89" s="16"/>
      <c r="AKX89" s="16"/>
      <c r="AKY89" s="16"/>
      <c r="AKZ89" s="16"/>
      <c r="ALA89" s="16"/>
      <c r="ALB89" s="16"/>
      <c r="ALC89" s="16"/>
      <c r="ALD89" s="16"/>
      <c r="ALE89" s="16"/>
      <c r="ALF89" s="16"/>
      <c r="ALG89" s="16"/>
      <c r="ALH89" s="16"/>
      <c r="ALI89" s="16"/>
      <c r="ALJ89" s="16"/>
      <c r="ALK89" s="16"/>
      <c r="ALL89" s="16"/>
      <c r="ALM89" s="16"/>
      <c r="ALN89" s="16"/>
      <c r="ALO89" s="16"/>
      <c r="ALP89" s="16"/>
      <c r="ALQ89" s="16"/>
      <c r="ALR89" s="16"/>
      <c r="ALS89" s="16"/>
      <c r="ALT89" s="16"/>
      <c r="ALU89" s="16"/>
      <c r="ALV89" s="16"/>
      <c r="ALW89" s="16"/>
      <c r="ALX89" s="16"/>
      <c r="ALY89" s="16"/>
      <c r="ALZ89" s="16"/>
      <c r="AMA89" s="16"/>
      <c r="AMB89" s="16"/>
      <c r="AMC89" s="16"/>
      <c r="AMD89" s="16"/>
      <c r="AME89" s="16"/>
      <c r="AMF89" s="16"/>
      <c r="AMG89" s="16"/>
      <c r="AMH89" s="16"/>
      <c r="AMI89" s="16"/>
      <c r="AMJ89" s="16"/>
      <c r="AMK89" s="16"/>
      <c r="AML89" s="16"/>
    </row>
    <row r="90" spans="1:1026" x14ac:dyDescent="0.2">
      <c r="A90" s="3" t="str">
        <f t="shared" si="84"/>
        <v>hrh1_human__wt</v>
      </c>
      <c r="B90" s="3" t="s">
        <v>471</v>
      </c>
      <c r="C90" s="3" t="s">
        <v>293</v>
      </c>
      <c r="D90" s="3" t="str">
        <f>IFERROR(MID(VLOOKUP($B90,Seqs!$A:$B,2,0),E90,1),"")</f>
        <v>P</v>
      </c>
      <c r="E90" s="3">
        <v>29</v>
      </c>
      <c r="F90" s="3" t="str">
        <f>IFERROR(MID(VLOOKUP($B90,Seqs!$A:$B,2,0),G90,1),"")</f>
        <v>E</v>
      </c>
      <c r="G90" s="3">
        <v>55</v>
      </c>
      <c r="H90" s="3" t="str">
        <f>IFERROR(MID(VLOOKUP($B90,Seqs!$A:$B,2,0),I90,1),"")</f>
        <v>R</v>
      </c>
      <c r="I90" s="57">
        <v>56</v>
      </c>
      <c r="J90" s="3" t="str">
        <f>IFERROR(MID(VLOOKUP($B90,Seqs!$A:$B,2,0),K90,1),"")</f>
        <v>H</v>
      </c>
      <c r="K90" s="57">
        <v>59</v>
      </c>
      <c r="L90" s="3" t="str">
        <f>IFERROR(MID(VLOOKUP($B90,Seqs!$A:$B,2,0),M90,1),"")</f>
        <v>T</v>
      </c>
      <c r="M90" s="3">
        <v>60</v>
      </c>
      <c r="N90" s="3" t="str">
        <f>IFERROR(MID(VLOOKUP($B90,Seqs!$A:$B,2,0),O90,1),"")</f>
        <v>M</v>
      </c>
      <c r="O90" s="3">
        <v>90</v>
      </c>
      <c r="P90" s="3" t="str">
        <f>IFERROR(MID(VLOOKUP($B90,Seqs!$A:$B,2,0),Q90,1),"")</f>
        <v>K</v>
      </c>
      <c r="Q90" s="3">
        <v>92</v>
      </c>
      <c r="R90" s="3" t="str">
        <f>IFERROR(MID(VLOOKUP($B90,Seqs!$A:$B,2,0),S90,1),"")</f>
        <v>L</v>
      </c>
      <c r="S90" s="3">
        <v>95</v>
      </c>
      <c r="T90" s="3" t="str">
        <f>IFERROR(MID(VLOOKUP($B90,Seqs!$A:$B,2,0),U90,1),"")</f>
        <v>G</v>
      </c>
      <c r="U90" s="3">
        <v>96</v>
      </c>
      <c r="V90" s="3" t="str">
        <f>IFERROR(MID(VLOOKUP($B90,Seqs!$A:$B,2,0),W90,1),"")</f>
        <v>Q</v>
      </c>
      <c r="W90" s="3">
        <v>131</v>
      </c>
      <c r="X90" s="3" t="str">
        <f>IFERROR(MID(VLOOKUP($B90,Seqs!$A:$B,2,0),Y90,1),"")</f>
        <v>P</v>
      </c>
      <c r="Y90" s="3">
        <v>132</v>
      </c>
      <c r="Z90" s="3" t="str">
        <f>IFERROR(MID(VLOOKUP($B90,Seqs!$A:$B,2,0),AA90,1),"")</f>
        <v>R</v>
      </c>
      <c r="AA90" s="3">
        <v>139</v>
      </c>
      <c r="AB90" s="3" t="str">
        <f>IFERROR(MID(VLOOKUP($B90,Seqs!$A:$B,2,0),AC90,1),"")</f>
        <v>K</v>
      </c>
      <c r="AC90" s="3">
        <v>141</v>
      </c>
      <c r="AD90" s="3" t="str">
        <f>IFERROR(MID(VLOOKUP($B90,Seqs!$A:$B,2,0),AE90,1),"")</f>
        <v>G</v>
      </c>
      <c r="AE90" s="3">
        <v>164</v>
      </c>
      <c r="AF90" s="3" t="str">
        <f>IFERROR(MID(VLOOKUP($B90,Seqs!$A:$B,2,0),AG90,1),"")</f>
        <v>C</v>
      </c>
      <c r="AG90" s="3">
        <v>180</v>
      </c>
      <c r="AH90" s="3" t="str">
        <f>IFERROR(MID(VLOOKUP($B90,Seqs!$A:$B,2,0),AI90,1),"")</f>
        <v>T</v>
      </c>
      <c r="AI90" s="3">
        <v>182</v>
      </c>
      <c r="AJ90" s="3" t="str">
        <f>IFERROR(MID(VLOOKUP($B90,Seqs!$A:$B,2,0),AK90,1),"")</f>
        <v>V</v>
      </c>
      <c r="AK90" s="3">
        <v>187</v>
      </c>
      <c r="AL90" s="3" t="str">
        <f>IFERROR(MID(VLOOKUP($B90,Seqs!$A:$B,2,0),AM90,1),"")</f>
        <v>N</v>
      </c>
      <c r="AM90" s="3">
        <v>228</v>
      </c>
      <c r="AN90" s="3" t="str">
        <f>IFERROR(MID(VLOOKUP($B90,Seqs!$A:$B,2,0),AO90,1),"")</f>
        <v>G</v>
      </c>
      <c r="AO90" s="3">
        <v>404</v>
      </c>
      <c r="AP90" s="3" t="str">
        <f>IFERROR(MID(VLOOKUP($B90,Seqs!$A:$B,2,0),AQ90,1),"")</f>
        <v>C</v>
      </c>
      <c r="AQ90" s="3">
        <v>441</v>
      </c>
      <c r="AR90" s="3" t="str">
        <f>IFERROR(MID(VLOOKUP($B90,Seqs!$A:$B,2,0),AS90,1),"")</f>
        <v>N</v>
      </c>
      <c r="AS90" s="3">
        <v>446</v>
      </c>
      <c r="AT90" s="3" t="str">
        <f>IFERROR(MID(VLOOKUP($B90,Seqs!$A:$B,2,0),AU90,1),"")</f>
        <v>C</v>
      </c>
      <c r="AU90" s="3">
        <v>471</v>
      </c>
      <c r="AV90" s="3" t="str">
        <f>IFERROR(MID(VLOOKUP($B90,Seqs!$A:$B,2,0),AW90,1),"")</f>
        <v>N</v>
      </c>
      <c r="AW90" s="3">
        <v>472</v>
      </c>
      <c r="AX90" s="3" t="str">
        <f>IFERROR(MID(VLOOKUP($B90,Seqs!$A:$B,2,0),AY90,1),"")</f>
        <v>H</v>
      </c>
      <c r="AY90" s="3">
        <v>484</v>
      </c>
      <c r="BA90" s="124" t="str">
        <f>VLOOKUP(B90,Classification!A:D,2,0)</f>
        <v>A</v>
      </c>
      <c r="BC90" s="1"/>
      <c r="BD90" s="101">
        <f>S90-Q90+1</f>
        <v>4</v>
      </c>
      <c r="BE90" s="57">
        <f t="shared" si="85"/>
        <v>256</v>
      </c>
      <c r="BF90" s="63" t="b">
        <f t="shared" si="86"/>
        <v>1</v>
      </c>
      <c r="BG90" s="116" t="s">
        <v>1513</v>
      </c>
      <c r="BH90" s="102" t="s">
        <v>1513</v>
      </c>
      <c r="BI90" s="102" t="s">
        <v>1513</v>
      </c>
      <c r="BJ90" s="102" t="s">
        <v>1513</v>
      </c>
      <c r="BK90" s="102" t="s">
        <v>1513</v>
      </c>
      <c r="BL90" s="102" t="s">
        <v>1513</v>
      </c>
      <c r="BM90" s="102" t="s">
        <v>1513</v>
      </c>
      <c r="BN90" s="102" t="s">
        <v>1513</v>
      </c>
      <c r="BO90" s="102" t="s">
        <v>1513</v>
      </c>
      <c r="BP90" s="102" t="s">
        <v>1513</v>
      </c>
      <c r="BQ90" s="102" t="s">
        <v>1513</v>
      </c>
      <c r="BR90" s="102" t="s">
        <v>1513</v>
      </c>
      <c r="BS90" s="116">
        <f t="shared" si="87"/>
        <v>29</v>
      </c>
      <c r="BT90" s="117">
        <f t="shared" si="88"/>
        <v>56</v>
      </c>
      <c r="BU90" s="118">
        <f t="shared" si="89"/>
        <v>60</v>
      </c>
      <c r="BV90" s="117">
        <f t="shared" si="90"/>
        <v>92</v>
      </c>
      <c r="BW90" s="118">
        <f t="shared" si="91"/>
        <v>96</v>
      </c>
      <c r="BX90" s="117">
        <f t="shared" si="92"/>
        <v>132</v>
      </c>
      <c r="BY90" s="118">
        <f t="shared" si="93"/>
        <v>141</v>
      </c>
      <c r="BZ90" s="117">
        <f t="shared" si="94"/>
        <v>180</v>
      </c>
      <c r="CA90" s="118">
        <f t="shared" si="95"/>
        <v>187</v>
      </c>
      <c r="CB90" s="117">
        <f t="shared" si="96"/>
        <v>404</v>
      </c>
      <c r="CC90" s="118">
        <f t="shared" si="97"/>
        <v>446</v>
      </c>
      <c r="CD90" s="117">
        <f t="shared" si="98"/>
        <v>472</v>
      </c>
      <c r="CE90" s="116">
        <f t="shared" si="99"/>
        <v>55</v>
      </c>
      <c r="CF90" s="117">
        <f t="shared" si="100"/>
        <v>59</v>
      </c>
      <c r="CG90" s="118">
        <f t="shared" si="101"/>
        <v>90</v>
      </c>
      <c r="CH90" s="118">
        <f t="shared" si="102"/>
        <v>95</v>
      </c>
      <c r="CI90" s="118">
        <f t="shared" si="103"/>
        <v>131</v>
      </c>
      <c r="CJ90" s="118">
        <f t="shared" si="104"/>
        <v>139</v>
      </c>
      <c r="CK90" s="118">
        <f t="shared" si="105"/>
        <v>164</v>
      </c>
      <c r="CL90" s="118">
        <f t="shared" si="106"/>
        <v>182</v>
      </c>
      <c r="CM90" s="118">
        <f t="shared" si="107"/>
        <v>228</v>
      </c>
      <c r="CN90" s="118">
        <f t="shared" si="108"/>
        <v>441</v>
      </c>
      <c r="CO90" s="118">
        <f t="shared" si="109"/>
        <v>471</v>
      </c>
      <c r="CP90" s="118">
        <f t="shared" si="110"/>
        <v>484</v>
      </c>
      <c r="CQ90" s="57">
        <f t="shared" si="111"/>
        <v>1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</row>
    <row r="91" spans="1:1026" x14ac:dyDescent="0.2">
      <c r="A91" s="3" t="str">
        <f t="shared" si="84"/>
        <v>hrh1_human_3RZE</v>
      </c>
      <c r="B91" s="3" t="s">
        <v>471</v>
      </c>
      <c r="C91" s="3" t="s">
        <v>263</v>
      </c>
      <c r="D91" s="3" t="str">
        <f>IFERROR(MID(VLOOKUP($B91,Seqs!$A:$B,2,0),E91,1),"")</f>
        <v>V</v>
      </c>
      <c r="E91" s="3">
        <v>33</v>
      </c>
      <c r="F91" s="3" t="str">
        <f>IFERROR(MID(VLOOKUP($B91,Seqs!$A:$B,2,0),G91,1),"")</f>
        <v>E</v>
      </c>
      <c r="G91" s="3">
        <v>55</v>
      </c>
      <c r="H91" s="3" t="str">
        <f>IFERROR(MID(VLOOKUP($B91,Seqs!$A:$B,2,0),I91,1),"")</f>
        <v>R</v>
      </c>
      <c r="I91" s="57">
        <v>56</v>
      </c>
      <c r="J91" s="3" t="str">
        <f>IFERROR(MID(VLOOKUP($B91,Seqs!$A:$B,2,0),K91,1),"")</f>
        <v>H</v>
      </c>
      <c r="K91" s="57">
        <v>59</v>
      </c>
      <c r="L91" s="3" t="str">
        <f>IFERROR(MID(VLOOKUP($B91,Seqs!$A:$B,2,0),M91,1),"")</f>
        <v>T</v>
      </c>
      <c r="M91" s="3">
        <v>60</v>
      </c>
      <c r="N91" s="3" t="str">
        <f>IFERROR(MID(VLOOKUP($B91,Seqs!$A:$B,2,0),O91,1),"")</f>
        <v>M</v>
      </c>
      <c r="O91" s="3">
        <v>90</v>
      </c>
      <c r="P91" s="3" t="str">
        <f>IFERROR(MID(VLOOKUP($B91,Seqs!$A:$B,2,0),Q91,1),"")</f>
        <v>K</v>
      </c>
      <c r="Q91" s="3">
        <v>92</v>
      </c>
      <c r="R91" s="3" t="str">
        <f>IFERROR(MID(VLOOKUP($B91,Seqs!$A:$B,2,0),S91,1),"")</f>
        <v>L</v>
      </c>
      <c r="S91" s="3">
        <v>95</v>
      </c>
      <c r="T91" s="3" t="str">
        <f>IFERROR(MID(VLOOKUP($B91,Seqs!$A:$B,2,0),U91,1),"")</f>
        <v>G</v>
      </c>
      <c r="U91" s="3">
        <v>96</v>
      </c>
      <c r="V91" s="3" t="str">
        <f>IFERROR(MID(VLOOKUP($B91,Seqs!$A:$B,2,0),W91,1),"")</f>
        <v>Q</v>
      </c>
      <c r="W91" s="3">
        <v>131</v>
      </c>
      <c r="X91" s="3" t="str">
        <f>IFERROR(MID(VLOOKUP($B91,Seqs!$A:$B,2,0),Y91,1),"")</f>
        <v/>
      </c>
      <c r="Y91" s="3" t="s">
        <v>129</v>
      </c>
      <c r="Z91" s="3" t="str">
        <f>IFERROR(MID(VLOOKUP($B91,Seqs!$A:$B,2,0),AA91,1),"")</f>
        <v/>
      </c>
      <c r="AA91" s="3" t="s">
        <v>129</v>
      </c>
      <c r="AB91" s="3" t="str">
        <f>IFERROR(MID(VLOOKUP($B91,Seqs!$A:$B,2,0),AC91,1),"")</f>
        <v>K</v>
      </c>
      <c r="AC91" s="3">
        <v>141</v>
      </c>
      <c r="AD91" s="3" t="str">
        <f>IFERROR(MID(VLOOKUP($B91,Seqs!$A:$B,2,0),AE91,1),"")</f>
        <v>G</v>
      </c>
      <c r="AE91" s="3">
        <v>164</v>
      </c>
      <c r="AF91" s="3" t="str">
        <f>IFERROR(MID(VLOOKUP($B91,Seqs!$A:$B,2,0),AG91,1),"")</f>
        <v>C</v>
      </c>
      <c r="AG91" s="3">
        <v>180</v>
      </c>
      <c r="AH91" s="3" t="str">
        <f>IFERROR(MID(VLOOKUP($B91,Seqs!$A:$B,2,0),AI91,1),"")</f>
        <v>T</v>
      </c>
      <c r="AI91" s="3">
        <v>182</v>
      </c>
      <c r="AJ91" s="3" t="str">
        <f>IFERROR(MID(VLOOKUP($B91,Seqs!$A:$B,2,0),AK91,1),"")</f>
        <v>V</v>
      </c>
      <c r="AK91" s="3">
        <v>187</v>
      </c>
      <c r="AL91" s="3" t="str">
        <f>IFERROR(MID(VLOOKUP($B91,Seqs!$A:$B,2,0),AM91,1),"")</f>
        <v>V</v>
      </c>
      <c r="AM91" s="3">
        <v>217</v>
      </c>
      <c r="AN91" s="3" t="str">
        <f>IFERROR(MID(VLOOKUP($B91,Seqs!$A:$B,2,0),AO91,1),"")</f>
        <v>N</v>
      </c>
      <c r="AO91" s="3">
        <v>408</v>
      </c>
      <c r="AP91" s="3" t="str">
        <f>IFERROR(MID(VLOOKUP($B91,Seqs!$A:$B,2,0),AQ91,1),"")</f>
        <v>C</v>
      </c>
      <c r="AQ91" s="3">
        <v>441</v>
      </c>
      <c r="AR91" s="3" t="str">
        <f>IFERROR(MID(VLOOKUP($B91,Seqs!$A:$B,2,0),AS91,1),"")</f>
        <v>N</v>
      </c>
      <c r="AS91" s="3">
        <v>446</v>
      </c>
      <c r="AT91" s="3" t="str">
        <f>IFERROR(MID(VLOOKUP($B91,Seqs!$A:$B,2,0),AU91,1),"")</f>
        <v>C</v>
      </c>
      <c r="AU91" s="3">
        <v>471</v>
      </c>
      <c r="AV91" s="3" t="str">
        <f>IFERROR(MID(VLOOKUP($B91,Seqs!$A:$B,2,0),AW91,1),"")</f>
        <v>N</v>
      </c>
      <c r="AW91" s="3">
        <v>472</v>
      </c>
      <c r="AX91" s="3" t="str">
        <f>IFERROR(MID(VLOOKUP($B91,Seqs!$A:$B,2,0),AY91,1),"")</f>
        <v>H</v>
      </c>
      <c r="AY91" s="3">
        <v>484</v>
      </c>
      <c r="BA91" s="124" t="str">
        <f>VLOOKUP(B91,Classification!A:D,2,0)</f>
        <v>A</v>
      </c>
      <c r="BC91" s="1"/>
      <c r="BD91" s="5"/>
      <c r="BE91" s="57">
        <f t="shared" si="85"/>
        <v>230</v>
      </c>
      <c r="BF91" s="63" t="b">
        <f t="shared" si="86"/>
        <v>1</v>
      </c>
      <c r="BG91" s="116" t="s">
        <v>1513</v>
      </c>
      <c r="BH91" s="102" t="s">
        <v>1513</v>
      </c>
      <c r="BI91" s="102" t="s">
        <v>1513</v>
      </c>
      <c r="BJ91" s="102" t="s">
        <v>1513</v>
      </c>
      <c r="BK91" s="102" t="s">
        <v>1513</v>
      </c>
      <c r="BL91" s="102" t="s">
        <v>1513</v>
      </c>
      <c r="BM91" s="102" t="s">
        <v>1513</v>
      </c>
      <c r="BN91" s="102" t="s">
        <v>1513</v>
      </c>
      <c r="BO91" s="102" t="s">
        <v>1513</v>
      </c>
      <c r="BP91" s="102" t="s">
        <v>1513</v>
      </c>
      <c r="BQ91" s="102" t="s">
        <v>1513</v>
      </c>
      <c r="BR91" s="102" t="s">
        <v>1513</v>
      </c>
      <c r="BS91" s="116">
        <f t="shared" si="87"/>
        <v>33</v>
      </c>
      <c r="BT91" s="117">
        <f t="shared" si="88"/>
        <v>56</v>
      </c>
      <c r="BU91" s="118">
        <f t="shared" si="89"/>
        <v>60</v>
      </c>
      <c r="BV91" s="117">
        <f t="shared" si="90"/>
        <v>92</v>
      </c>
      <c r="BW91" s="118">
        <f t="shared" si="91"/>
        <v>96</v>
      </c>
      <c r="BX91" s="117" t="str">
        <f t="shared" si="92"/>
        <v>-</v>
      </c>
      <c r="BY91" s="118">
        <f t="shared" si="93"/>
        <v>141</v>
      </c>
      <c r="BZ91" s="117">
        <f t="shared" si="94"/>
        <v>180</v>
      </c>
      <c r="CA91" s="118">
        <f t="shared" si="95"/>
        <v>187</v>
      </c>
      <c r="CB91" s="117">
        <f t="shared" si="96"/>
        <v>408</v>
      </c>
      <c r="CC91" s="118">
        <f t="shared" si="97"/>
        <v>446</v>
      </c>
      <c r="CD91" s="117">
        <f t="shared" si="98"/>
        <v>472</v>
      </c>
      <c r="CE91" s="116">
        <f t="shared" si="99"/>
        <v>55</v>
      </c>
      <c r="CF91" s="117">
        <f t="shared" si="100"/>
        <v>59</v>
      </c>
      <c r="CG91" s="118">
        <f t="shared" si="101"/>
        <v>90</v>
      </c>
      <c r="CH91" s="118">
        <f t="shared" si="102"/>
        <v>95</v>
      </c>
      <c r="CI91" s="118">
        <f t="shared" si="103"/>
        <v>131</v>
      </c>
      <c r="CJ91" s="118" t="str">
        <f t="shared" si="104"/>
        <v>-</v>
      </c>
      <c r="CK91" s="118">
        <f t="shared" si="105"/>
        <v>164</v>
      </c>
      <c r="CL91" s="118">
        <f t="shared" si="106"/>
        <v>182</v>
      </c>
      <c r="CM91" s="118">
        <f t="shared" si="107"/>
        <v>217</v>
      </c>
      <c r="CN91" s="118">
        <f t="shared" si="108"/>
        <v>441</v>
      </c>
      <c r="CO91" s="118">
        <f t="shared" si="109"/>
        <v>471</v>
      </c>
      <c r="CP91" s="118">
        <f t="shared" si="110"/>
        <v>484</v>
      </c>
      <c r="CQ91" s="57">
        <f t="shared" si="111"/>
        <v>1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</row>
    <row r="92" spans="1:1026" x14ac:dyDescent="0.2">
      <c r="A92" s="3" t="str">
        <f t="shared" si="84"/>
        <v>lpar1_human__wt</v>
      </c>
      <c r="B92" s="3" t="s">
        <v>296</v>
      </c>
      <c r="C92" s="3" t="s">
        <v>293</v>
      </c>
      <c r="D92" s="3" t="str">
        <f>IFERROR(MID(VLOOKUP($B92,Seqs!$A:$B,2,0),E92,1),"")</f>
        <v>T</v>
      </c>
      <c r="E92" s="3">
        <v>47</v>
      </c>
      <c r="F92" s="3" t="str">
        <f>IFERROR(MID(VLOOKUP($B92,Seqs!$A:$B,2,0),G92,1),"")</f>
        <v>N</v>
      </c>
      <c r="G92" s="3">
        <v>77</v>
      </c>
      <c r="H92" s="3" t="str">
        <f>IFERROR(MID(VLOOKUP($B92,Seqs!$A:$B,2,0),I92,1),"")</f>
        <v>R</v>
      </c>
      <c r="I92" s="57">
        <v>78</v>
      </c>
      <c r="J92" s="3" t="str">
        <f>IFERROR(MID(VLOOKUP($B92,Seqs!$A:$B,2,0),K92,1),"")</f>
        <v>H</v>
      </c>
      <c r="K92" s="57">
        <v>81</v>
      </c>
      <c r="L92" s="3" t="str">
        <f>IFERROR(MID(VLOOKUP($B92,Seqs!$A:$B,2,0),M92,1),"")</f>
        <v>F</v>
      </c>
      <c r="M92" s="3">
        <v>82</v>
      </c>
      <c r="N92" s="3" t="str">
        <f>IFERROR(MID(VLOOKUP($B92,Seqs!$A:$B,2,0),O92,1),"")</f>
        <v>N</v>
      </c>
      <c r="O92" s="3">
        <v>108</v>
      </c>
      <c r="P92" s="3" t="str">
        <f>IFERROR(MID(VLOOKUP($B92,Seqs!$A:$B,2,0),Q92,1),"")</f>
        <v>G</v>
      </c>
      <c r="Q92" s="3">
        <v>110</v>
      </c>
      <c r="R92" s="3" t="str">
        <f>IFERROR(MID(VLOOKUP($B92,Seqs!$A:$B,2,0),S92,1),"")</f>
        <v>L</v>
      </c>
      <c r="S92" s="3">
        <v>116</v>
      </c>
      <c r="T92" s="3" t="str">
        <f>IFERROR(MID(VLOOKUP($B92,Seqs!$A:$B,2,0),U92,1),"")</f>
        <v>T</v>
      </c>
      <c r="U92" s="3">
        <v>117</v>
      </c>
      <c r="V92" s="3" t="str">
        <f>IFERROR(MID(VLOOKUP($B92,Seqs!$A:$B,2,0),W92,1),"")</f>
        <v>R</v>
      </c>
      <c r="W92" s="3">
        <v>152</v>
      </c>
      <c r="X92" s="3" t="str">
        <f>IFERROR(MID(VLOOKUP($B92,Seqs!$A:$B,2,0),Y92,1),"")</f>
        <v>M</v>
      </c>
      <c r="Y92" s="3">
        <v>153</v>
      </c>
      <c r="Z92" s="3" t="str">
        <f>IFERROR(MID(VLOOKUP($B92,Seqs!$A:$B,2,0),AA92,1),"")</f>
        <v>S</v>
      </c>
      <c r="AA92" s="3">
        <v>160</v>
      </c>
      <c r="AB92" s="3" t="str">
        <f>IFERROR(MID(VLOOKUP($B92,Seqs!$A:$B,2,0),AC92,1),"")</f>
        <v>N</v>
      </c>
      <c r="AC92" s="3">
        <v>161</v>
      </c>
      <c r="AD92" s="3" t="str">
        <f>IFERROR(MID(VLOOKUP($B92,Seqs!$A:$B,2,0),AE92,1),"")</f>
        <v>G</v>
      </c>
      <c r="AE92" s="3">
        <v>185</v>
      </c>
      <c r="AF92" s="3" t="str">
        <f>IFERROR(MID(VLOOKUP($B92,Seqs!$A:$B,2,0),AG92,1),"")</f>
        <v/>
      </c>
      <c r="AG92" s="3" t="s">
        <v>129</v>
      </c>
      <c r="AH92" s="3" t="str">
        <f>IFERROR(MID(VLOOKUP($B92,Seqs!$A:$B,2,0),AI92,1),"")</f>
        <v/>
      </c>
      <c r="AI92" s="3" t="s">
        <v>129</v>
      </c>
      <c r="AJ92" s="3" t="str">
        <f>IFERROR(MID(VLOOKUP($B92,Seqs!$A:$B,2,0),AK92,1),"")</f>
        <v>S</v>
      </c>
      <c r="AK92" s="3">
        <v>203</v>
      </c>
      <c r="AL92" s="3" t="str">
        <f>IFERROR(MID(VLOOKUP($B92,Seqs!$A:$B,2,0),AM92,1),"")</f>
        <v>S</v>
      </c>
      <c r="AM92" s="3">
        <v>240</v>
      </c>
      <c r="AN92" s="3" t="str">
        <f>IFERROR(MID(VLOOKUP($B92,Seqs!$A:$B,2,0),AO92,1),"")</f>
        <v>G</v>
      </c>
      <c r="AO92" s="3">
        <v>245</v>
      </c>
      <c r="AP92" s="3" t="str">
        <f>IFERROR(MID(VLOOKUP($B92,Seqs!$A:$B,2,0),AQ92,1),"")</f>
        <v>C</v>
      </c>
      <c r="AQ92" s="3">
        <v>284</v>
      </c>
      <c r="AR92" s="3" t="str">
        <f>IFERROR(MID(VLOOKUP($B92,Seqs!$A:$B,2,0),AS92,1),"")</f>
        <v>D</v>
      </c>
      <c r="AS92" s="3">
        <v>288</v>
      </c>
      <c r="AT92" s="3" t="str">
        <f>IFERROR(MID(VLOOKUP($B92,Seqs!$A:$B,2,0),AU92,1),"")</f>
        <v>R</v>
      </c>
      <c r="AU92" s="3">
        <v>314</v>
      </c>
      <c r="AV92" s="3" t="str">
        <f>IFERROR(MID(VLOOKUP($B92,Seqs!$A:$B,2,0),AW92,1),"")</f>
        <v>D</v>
      </c>
      <c r="AW92" s="3">
        <v>315</v>
      </c>
      <c r="AX92" s="3" t="str">
        <f>IFERROR(MID(VLOOKUP($B92,Seqs!$A:$B,2,0),AY92,1),"")</f>
        <v>C</v>
      </c>
      <c r="AY92" s="3">
        <v>327</v>
      </c>
      <c r="BA92" s="124" t="str">
        <f>VLOOKUP(B92,Classification!A:D,2,0)</f>
        <v>A</v>
      </c>
      <c r="BC92" s="1"/>
      <c r="BD92" s="101">
        <f>S92-Q92+1</f>
        <v>7</v>
      </c>
      <c r="BE92" s="57">
        <f t="shared" si="85"/>
        <v>257</v>
      </c>
      <c r="BF92" s="63" t="b">
        <f t="shared" si="86"/>
        <v>1</v>
      </c>
      <c r="BG92" s="116" t="s">
        <v>1513</v>
      </c>
      <c r="BH92" s="102" t="s">
        <v>1513</v>
      </c>
      <c r="BI92" s="102" t="s">
        <v>1513</v>
      </c>
      <c r="BJ92" s="102" t="s">
        <v>1513</v>
      </c>
      <c r="BK92" s="102" t="s">
        <v>1513</v>
      </c>
      <c r="BL92" s="102" t="s">
        <v>1513</v>
      </c>
      <c r="BM92" s="102" t="s">
        <v>1513</v>
      </c>
      <c r="BN92" s="102" t="s">
        <v>1513</v>
      </c>
      <c r="BO92" s="102" t="s">
        <v>1513</v>
      </c>
      <c r="BP92" s="102" t="s">
        <v>1513</v>
      </c>
      <c r="BQ92" s="102" t="s">
        <v>1513</v>
      </c>
      <c r="BR92" s="102" t="s">
        <v>1513</v>
      </c>
      <c r="BS92" s="116">
        <f t="shared" si="87"/>
        <v>47</v>
      </c>
      <c r="BT92" s="117">
        <f t="shared" si="88"/>
        <v>78</v>
      </c>
      <c r="BU92" s="118">
        <f t="shared" si="89"/>
        <v>82</v>
      </c>
      <c r="BV92" s="117">
        <f t="shared" si="90"/>
        <v>110</v>
      </c>
      <c r="BW92" s="118">
        <f t="shared" si="91"/>
        <v>117</v>
      </c>
      <c r="BX92" s="117">
        <f t="shared" si="92"/>
        <v>153</v>
      </c>
      <c r="BY92" s="118">
        <f t="shared" si="93"/>
        <v>161</v>
      </c>
      <c r="BZ92" s="117" t="str">
        <f t="shared" si="94"/>
        <v>-</v>
      </c>
      <c r="CA92" s="118">
        <f t="shared" si="95"/>
        <v>203</v>
      </c>
      <c r="CB92" s="117">
        <f t="shared" si="96"/>
        <v>245</v>
      </c>
      <c r="CC92" s="118">
        <f t="shared" si="97"/>
        <v>288</v>
      </c>
      <c r="CD92" s="117">
        <f t="shared" si="98"/>
        <v>315</v>
      </c>
      <c r="CE92" s="116">
        <f t="shared" si="99"/>
        <v>77</v>
      </c>
      <c r="CF92" s="117">
        <f t="shared" si="100"/>
        <v>81</v>
      </c>
      <c r="CG92" s="118">
        <f t="shared" si="101"/>
        <v>108</v>
      </c>
      <c r="CH92" s="118">
        <f t="shared" si="102"/>
        <v>116</v>
      </c>
      <c r="CI92" s="118">
        <f t="shared" si="103"/>
        <v>152</v>
      </c>
      <c r="CJ92" s="118">
        <f t="shared" si="104"/>
        <v>160</v>
      </c>
      <c r="CK92" s="118">
        <f t="shared" si="105"/>
        <v>185</v>
      </c>
      <c r="CL92" s="118" t="str">
        <f t="shared" si="106"/>
        <v>-</v>
      </c>
      <c r="CM92" s="118">
        <f t="shared" si="107"/>
        <v>240</v>
      </c>
      <c r="CN92" s="118">
        <f t="shared" si="108"/>
        <v>284</v>
      </c>
      <c r="CO92" s="118">
        <f t="shared" si="109"/>
        <v>314</v>
      </c>
      <c r="CP92" s="118">
        <f t="shared" si="110"/>
        <v>327</v>
      </c>
      <c r="CQ92" s="57">
        <f t="shared" si="111"/>
        <v>1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</row>
    <row r="93" spans="1:1026" x14ac:dyDescent="0.2">
      <c r="A93" s="3" t="str">
        <f t="shared" si="84"/>
        <v>lpar1_human_4Z34</v>
      </c>
      <c r="B93" s="3" t="s">
        <v>296</v>
      </c>
      <c r="C93" s="3" t="s">
        <v>1262</v>
      </c>
      <c r="D93" s="3" t="str">
        <f>IFERROR(MID(VLOOKUP($B93,Seqs!$A:$B,2,0),E93,1),"")</f>
        <v>T</v>
      </c>
      <c r="E93" s="3">
        <v>47</v>
      </c>
      <c r="F93" s="3" t="str">
        <f>IFERROR(MID(VLOOKUP($B93,Seqs!$A:$B,2,0),G93,1),"")</f>
        <v>N</v>
      </c>
      <c r="G93" s="3">
        <v>77</v>
      </c>
      <c r="H93" s="3" t="str">
        <f>IFERROR(MID(VLOOKUP($B93,Seqs!$A:$B,2,0),I93,1),"")</f>
        <v>R</v>
      </c>
      <c r="I93" s="57">
        <v>78</v>
      </c>
      <c r="J93" s="3" t="str">
        <f>IFERROR(MID(VLOOKUP($B93,Seqs!$A:$B,2,0),K93,1),"")</f>
        <v>H</v>
      </c>
      <c r="K93" s="57">
        <v>81</v>
      </c>
      <c r="L93" s="3" t="str">
        <f>IFERROR(MID(VLOOKUP($B93,Seqs!$A:$B,2,0),M93,1),"")</f>
        <v>F</v>
      </c>
      <c r="M93" s="3">
        <v>82</v>
      </c>
      <c r="N93" s="3" t="str">
        <f>IFERROR(MID(VLOOKUP($B93,Seqs!$A:$B,2,0),O93,1),"")</f>
        <v>N</v>
      </c>
      <c r="O93" s="3">
        <v>108</v>
      </c>
      <c r="P93" s="3" t="str">
        <f>IFERROR(MID(VLOOKUP($B93,Seqs!$A:$B,2,0),Q93,1),"")</f>
        <v>G</v>
      </c>
      <c r="Q93" s="3">
        <v>110</v>
      </c>
      <c r="R93" s="3" t="str">
        <f>IFERROR(MID(VLOOKUP($B93,Seqs!$A:$B,2,0),S93,1),"")</f>
        <v>L</v>
      </c>
      <c r="S93" s="3">
        <v>116</v>
      </c>
      <c r="T93" s="3" t="str">
        <f>IFERROR(MID(VLOOKUP($B93,Seqs!$A:$B,2,0),U93,1),"")</f>
        <v>T</v>
      </c>
      <c r="U93" s="3">
        <v>117</v>
      </c>
      <c r="V93" s="3" t="str">
        <f>IFERROR(MID(VLOOKUP($B93,Seqs!$A:$B,2,0),W93,1),"")</f>
        <v>R</v>
      </c>
      <c r="W93" s="3">
        <v>152</v>
      </c>
      <c r="X93" s="3" t="str">
        <f>IFERROR(MID(VLOOKUP($B93,Seqs!$A:$B,2,0),Y93,1),"")</f>
        <v/>
      </c>
      <c r="Y93" s="3" t="s">
        <v>129</v>
      </c>
      <c r="Z93" s="3" t="str">
        <f>IFERROR(MID(VLOOKUP($B93,Seqs!$A:$B,2,0),AA93,1),"")</f>
        <v/>
      </c>
      <c r="AA93" s="3" t="s">
        <v>129</v>
      </c>
      <c r="AB93" s="3" t="str">
        <f>IFERROR(MID(VLOOKUP($B93,Seqs!$A:$B,2,0),AC93,1),"")</f>
        <v>R</v>
      </c>
      <c r="AC93" s="3">
        <v>158</v>
      </c>
      <c r="AD93" s="3" t="str">
        <f>IFERROR(MID(VLOOKUP($B93,Seqs!$A:$B,2,0),AE93,1),"")</f>
        <v>G</v>
      </c>
      <c r="AE93" s="3">
        <v>185</v>
      </c>
      <c r="AF93" s="3" t="str">
        <f>IFERROR(MID(VLOOKUP($B93,Seqs!$A:$B,2,0),AG93,1),"")</f>
        <v/>
      </c>
      <c r="AG93" s="3" t="s">
        <v>129</v>
      </c>
      <c r="AH93" s="3" t="str">
        <f>IFERROR(MID(VLOOKUP($B93,Seqs!$A:$B,2,0),AI93,1),"")</f>
        <v/>
      </c>
      <c r="AI93" s="3" t="s">
        <v>129</v>
      </c>
      <c r="AJ93" s="3" t="str">
        <f>IFERROR(MID(VLOOKUP($B93,Seqs!$A:$B,2,0),AK93,1),"")</f>
        <v>S</v>
      </c>
      <c r="AK93" s="3">
        <v>203</v>
      </c>
      <c r="AL93" s="3" t="str">
        <f>IFERROR(MID(VLOOKUP($B93,Seqs!$A:$B,2,0),AM93,1),"")</f>
        <v>R</v>
      </c>
      <c r="AM93" s="3">
        <v>235</v>
      </c>
      <c r="AN93" s="3" t="str">
        <f>IFERROR(MID(VLOOKUP($B93,Seqs!$A:$B,2,0),AO93,1),"")</f>
        <v>G</v>
      </c>
      <c r="AO93" s="3">
        <v>245</v>
      </c>
      <c r="AP93" s="3" t="str">
        <f>IFERROR(MID(VLOOKUP($B93,Seqs!$A:$B,2,0),AQ93,1),"")</f>
        <v>C</v>
      </c>
      <c r="AQ93" s="3">
        <v>284</v>
      </c>
      <c r="AR93" s="3" t="str">
        <f>IFERROR(MID(VLOOKUP($B93,Seqs!$A:$B,2,0),AS93,1),"")</f>
        <v>E</v>
      </c>
      <c r="AS93" s="3">
        <v>293</v>
      </c>
      <c r="AT93" s="3" t="str">
        <f>IFERROR(MID(VLOOKUP($B93,Seqs!$A:$B,2,0),AU93,1),"")</f>
        <v>R</v>
      </c>
      <c r="AU93" s="3">
        <v>314</v>
      </c>
      <c r="AV93" s="3" t="str">
        <f>IFERROR(MID(VLOOKUP($B93,Seqs!$A:$B,2,0),AW93,1),"")</f>
        <v>D</v>
      </c>
      <c r="AW93" s="3">
        <v>315</v>
      </c>
      <c r="AX93" s="3" t="str">
        <f>IFERROR(MID(VLOOKUP($B93,Seqs!$A:$B,2,0),AY93,1),"")</f>
        <v>C</v>
      </c>
      <c r="AY93" s="3">
        <v>327</v>
      </c>
      <c r="BA93" s="124" t="str">
        <f>VLOOKUP(B93,Classification!A:D,2,0)</f>
        <v>A</v>
      </c>
      <c r="BC93" s="1"/>
      <c r="BD93" s="2" t="s">
        <v>1314</v>
      </c>
      <c r="BE93" s="57">
        <f t="shared" si="85"/>
        <v>243</v>
      </c>
      <c r="BF93" s="63" t="b">
        <f t="shared" si="86"/>
        <v>1</v>
      </c>
      <c r="BG93" s="116" t="s">
        <v>1513</v>
      </c>
      <c r="BH93" s="102" t="s">
        <v>1513</v>
      </c>
      <c r="BI93" s="102" t="s">
        <v>1513</v>
      </c>
      <c r="BJ93" s="102" t="s">
        <v>1513</v>
      </c>
      <c r="BK93" s="102" t="s">
        <v>1513</v>
      </c>
      <c r="BL93" s="102" t="s">
        <v>1513</v>
      </c>
      <c r="BM93" s="102" t="s">
        <v>1513</v>
      </c>
      <c r="BN93" s="102" t="s">
        <v>1513</v>
      </c>
      <c r="BO93" s="102" t="s">
        <v>1513</v>
      </c>
      <c r="BP93" s="102" t="s">
        <v>1513</v>
      </c>
      <c r="BQ93" s="102" t="s">
        <v>1513</v>
      </c>
      <c r="BR93" s="102" t="s">
        <v>1513</v>
      </c>
      <c r="BS93" s="116">
        <f t="shared" si="87"/>
        <v>47</v>
      </c>
      <c r="BT93" s="117">
        <f t="shared" si="88"/>
        <v>78</v>
      </c>
      <c r="BU93" s="118">
        <f t="shared" si="89"/>
        <v>82</v>
      </c>
      <c r="BV93" s="117">
        <f t="shared" si="90"/>
        <v>110</v>
      </c>
      <c r="BW93" s="118">
        <f t="shared" si="91"/>
        <v>117</v>
      </c>
      <c r="BX93" s="117" t="str">
        <f t="shared" si="92"/>
        <v>-</v>
      </c>
      <c r="BY93" s="118">
        <f t="shared" si="93"/>
        <v>158</v>
      </c>
      <c r="BZ93" s="117" t="str">
        <f t="shared" si="94"/>
        <v>-</v>
      </c>
      <c r="CA93" s="118">
        <f t="shared" si="95"/>
        <v>203</v>
      </c>
      <c r="CB93" s="117">
        <f t="shared" si="96"/>
        <v>245</v>
      </c>
      <c r="CC93" s="118">
        <f t="shared" si="97"/>
        <v>293</v>
      </c>
      <c r="CD93" s="117">
        <f t="shared" si="98"/>
        <v>315</v>
      </c>
      <c r="CE93" s="116">
        <f t="shared" si="99"/>
        <v>77</v>
      </c>
      <c r="CF93" s="117">
        <f t="shared" si="100"/>
        <v>81</v>
      </c>
      <c r="CG93" s="118">
        <f t="shared" si="101"/>
        <v>108</v>
      </c>
      <c r="CH93" s="118">
        <f t="shared" si="102"/>
        <v>116</v>
      </c>
      <c r="CI93" s="118">
        <f t="shared" si="103"/>
        <v>152</v>
      </c>
      <c r="CJ93" s="118" t="str">
        <f t="shared" si="104"/>
        <v>-</v>
      </c>
      <c r="CK93" s="118">
        <f t="shared" si="105"/>
        <v>185</v>
      </c>
      <c r="CL93" s="118" t="str">
        <f t="shared" si="106"/>
        <v>-</v>
      </c>
      <c r="CM93" s="118">
        <f t="shared" si="107"/>
        <v>235</v>
      </c>
      <c r="CN93" s="118">
        <f t="shared" si="108"/>
        <v>284</v>
      </c>
      <c r="CO93" s="118">
        <f t="shared" si="109"/>
        <v>314</v>
      </c>
      <c r="CP93" s="118">
        <f t="shared" si="110"/>
        <v>327</v>
      </c>
      <c r="CQ93" s="57">
        <f t="shared" si="111"/>
        <v>1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</row>
    <row r="94" spans="1:1026" x14ac:dyDescent="0.2">
      <c r="A94" s="3" t="str">
        <f t="shared" si="84"/>
        <v>lpar1_human_4Z35</v>
      </c>
      <c r="B94" s="3" t="s">
        <v>296</v>
      </c>
      <c r="C94" s="3" t="s">
        <v>280</v>
      </c>
      <c r="D94" s="3" t="str">
        <f>IFERROR(MID(VLOOKUP($B94,Seqs!$A:$B,2,0),E94,1),"")</f>
        <v>T</v>
      </c>
      <c r="E94" s="3">
        <v>47</v>
      </c>
      <c r="F94" s="3" t="str">
        <f>IFERROR(MID(VLOOKUP($B94,Seqs!$A:$B,2,0),G94,1),"")</f>
        <v>N</v>
      </c>
      <c r="G94" s="3">
        <v>77</v>
      </c>
      <c r="H94" s="3" t="str">
        <f>IFERROR(MID(VLOOKUP($B94,Seqs!$A:$B,2,0),I94,1),"")</f>
        <v>R</v>
      </c>
      <c r="I94" s="57">
        <v>78</v>
      </c>
      <c r="J94" s="3" t="str">
        <f>IFERROR(MID(VLOOKUP($B94,Seqs!$A:$B,2,0),K94,1),"")</f>
        <v>H</v>
      </c>
      <c r="K94" s="57">
        <v>81</v>
      </c>
      <c r="L94" s="3" t="str">
        <f>IFERROR(MID(VLOOKUP($B94,Seqs!$A:$B,2,0),M94,1),"")</f>
        <v>F</v>
      </c>
      <c r="M94" s="3">
        <v>82</v>
      </c>
      <c r="N94" s="3" t="str">
        <f>IFERROR(MID(VLOOKUP($B94,Seqs!$A:$B,2,0),O94,1),"")</f>
        <v>N</v>
      </c>
      <c r="O94" s="3">
        <v>108</v>
      </c>
      <c r="P94" s="3" t="str">
        <f>IFERROR(MID(VLOOKUP($B94,Seqs!$A:$B,2,0),Q94,1),"")</f>
        <v>G</v>
      </c>
      <c r="Q94" s="3">
        <v>110</v>
      </c>
      <c r="R94" s="3" t="str">
        <f>IFERROR(MID(VLOOKUP($B94,Seqs!$A:$B,2,0),S94,1),"")</f>
        <v>L</v>
      </c>
      <c r="S94" s="3">
        <v>116</v>
      </c>
      <c r="T94" s="3" t="str">
        <f>IFERROR(MID(VLOOKUP($B94,Seqs!$A:$B,2,0),U94,1),"")</f>
        <v>T</v>
      </c>
      <c r="U94" s="3">
        <v>117</v>
      </c>
      <c r="V94" s="3" t="str">
        <f>IFERROR(MID(VLOOKUP($B94,Seqs!$A:$B,2,0),W94,1),"")</f>
        <v>R</v>
      </c>
      <c r="W94" s="3">
        <v>152</v>
      </c>
      <c r="X94" s="3" t="str">
        <f>IFERROR(MID(VLOOKUP($B94,Seqs!$A:$B,2,0),Y94,1),"")</f>
        <v/>
      </c>
      <c r="Y94" s="3" t="s">
        <v>129</v>
      </c>
      <c r="Z94" s="3" t="str">
        <f>IFERROR(MID(VLOOKUP($B94,Seqs!$A:$B,2,0),AA94,1),"")</f>
        <v/>
      </c>
      <c r="AA94" s="3" t="s">
        <v>129</v>
      </c>
      <c r="AB94" s="3" t="str">
        <f>IFERROR(MID(VLOOKUP($B94,Seqs!$A:$B,2,0),AC94,1),"")</f>
        <v>R</v>
      </c>
      <c r="AC94" s="3">
        <v>158</v>
      </c>
      <c r="AD94" s="3" t="str">
        <f>IFERROR(MID(VLOOKUP($B94,Seqs!$A:$B,2,0),AE94,1),"")</f>
        <v>G</v>
      </c>
      <c r="AE94" s="3">
        <v>185</v>
      </c>
      <c r="AF94" s="3" t="str">
        <f>IFERROR(MID(VLOOKUP($B94,Seqs!$A:$B,2,0),AG94,1),"")</f>
        <v/>
      </c>
      <c r="AG94" s="3" t="s">
        <v>129</v>
      </c>
      <c r="AH94" s="3" t="str">
        <f>IFERROR(MID(VLOOKUP($B94,Seqs!$A:$B,2,0),AI94,1),"")</f>
        <v/>
      </c>
      <c r="AI94" s="3" t="s">
        <v>129</v>
      </c>
      <c r="AJ94" s="3" t="str">
        <f>IFERROR(MID(VLOOKUP($B94,Seqs!$A:$B,2,0),AK94,1),"")</f>
        <v>S</v>
      </c>
      <c r="AK94" s="3">
        <v>203</v>
      </c>
      <c r="AL94" s="3" t="str">
        <f>IFERROR(MID(VLOOKUP($B94,Seqs!$A:$B,2,0),AM94,1),"")</f>
        <v>R</v>
      </c>
      <c r="AM94" s="3">
        <v>235</v>
      </c>
      <c r="AN94" s="3" t="str">
        <f>IFERROR(MID(VLOOKUP($B94,Seqs!$A:$B,2,0),AO94,1),"")</f>
        <v>G</v>
      </c>
      <c r="AO94" s="3">
        <v>245</v>
      </c>
      <c r="AP94" s="3" t="str">
        <f>IFERROR(MID(VLOOKUP($B94,Seqs!$A:$B,2,0),AQ94,1),"")</f>
        <v>C</v>
      </c>
      <c r="AQ94" s="3">
        <v>284</v>
      </c>
      <c r="AR94" s="3" t="str">
        <f>IFERROR(MID(VLOOKUP($B94,Seqs!$A:$B,2,0),AS94,1),"")</f>
        <v>E</v>
      </c>
      <c r="AS94" s="3">
        <v>293</v>
      </c>
      <c r="AT94" s="3" t="str">
        <f>IFERROR(MID(VLOOKUP($B94,Seqs!$A:$B,2,0),AU94,1),"")</f>
        <v>R</v>
      </c>
      <c r="AU94" s="3">
        <v>314</v>
      </c>
      <c r="AV94" s="3" t="str">
        <f>IFERROR(MID(VLOOKUP($B94,Seqs!$A:$B,2,0),AW94,1),"")</f>
        <v>D</v>
      </c>
      <c r="AW94" s="3">
        <v>315</v>
      </c>
      <c r="AX94" s="3" t="str">
        <f>IFERROR(MID(VLOOKUP($B94,Seqs!$A:$B,2,0),AY94,1),"")</f>
        <v>C</v>
      </c>
      <c r="AY94" s="3">
        <v>327</v>
      </c>
      <c r="BA94" s="124" t="str">
        <f>VLOOKUP(B94,Classification!A:D,2,0)</f>
        <v>A</v>
      </c>
      <c r="BC94" s="1"/>
      <c r="BD94" s="5"/>
      <c r="BE94" s="57">
        <f t="shared" si="85"/>
        <v>243</v>
      </c>
      <c r="BF94" s="63" t="b">
        <f t="shared" si="86"/>
        <v>1</v>
      </c>
      <c r="BG94" s="116" t="s">
        <v>1513</v>
      </c>
      <c r="BH94" s="102" t="s">
        <v>1513</v>
      </c>
      <c r="BI94" s="102" t="s">
        <v>1513</v>
      </c>
      <c r="BJ94" s="102" t="s">
        <v>1513</v>
      </c>
      <c r="BK94" s="102" t="s">
        <v>1513</v>
      </c>
      <c r="BL94" s="102" t="s">
        <v>1513</v>
      </c>
      <c r="BM94" s="102" t="s">
        <v>1513</v>
      </c>
      <c r="BN94" s="102" t="s">
        <v>1513</v>
      </c>
      <c r="BO94" s="102" t="s">
        <v>1513</v>
      </c>
      <c r="BP94" s="102" t="s">
        <v>1513</v>
      </c>
      <c r="BQ94" s="102" t="s">
        <v>1513</v>
      </c>
      <c r="BR94" s="102" t="s">
        <v>1513</v>
      </c>
      <c r="BS94" s="116">
        <f t="shared" si="87"/>
        <v>47</v>
      </c>
      <c r="BT94" s="117">
        <f t="shared" si="88"/>
        <v>78</v>
      </c>
      <c r="BU94" s="118">
        <f t="shared" si="89"/>
        <v>82</v>
      </c>
      <c r="BV94" s="117">
        <f t="shared" si="90"/>
        <v>110</v>
      </c>
      <c r="BW94" s="118">
        <f t="shared" si="91"/>
        <v>117</v>
      </c>
      <c r="BX94" s="117" t="str">
        <f t="shared" si="92"/>
        <v>-</v>
      </c>
      <c r="BY94" s="118">
        <f t="shared" si="93"/>
        <v>158</v>
      </c>
      <c r="BZ94" s="117" t="str">
        <f t="shared" si="94"/>
        <v>-</v>
      </c>
      <c r="CA94" s="118">
        <f t="shared" si="95"/>
        <v>203</v>
      </c>
      <c r="CB94" s="117">
        <f t="shared" si="96"/>
        <v>245</v>
      </c>
      <c r="CC94" s="118">
        <f t="shared" si="97"/>
        <v>293</v>
      </c>
      <c r="CD94" s="117">
        <f t="shared" si="98"/>
        <v>315</v>
      </c>
      <c r="CE94" s="116">
        <f t="shared" si="99"/>
        <v>77</v>
      </c>
      <c r="CF94" s="117">
        <f t="shared" si="100"/>
        <v>81</v>
      </c>
      <c r="CG94" s="118">
        <f t="shared" si="101"/>
        <v>108</v>
      </c>
      <c r="CH94" s="118">
        <f t="shared" si="102"/>
        <v>116</v>
      </c>
      <c r="CI94" s="118">
        <f t="shared" si="103"/>
        <v>152</v>
      </c>
      <c r="CJ94" s="118" t="str">
        <f t="shared" si="104"/>
        <v>-</v>
      </c>
      <c r="CK94" s="118">
        <f t="shared" si="105"/>
        <v>185</v>
      </c>
      <c r="CL94" s="118" t="str">
        <f t="shared" si="106"/>
        <v>-</v>
      </c>
      <c r="CM94" s="118">
        <f t="shared" si="107"/>
        <v>235</v>
      </c>
      <c r="CN94" s="118">
        <f t="shared" si="108"/>
        <v>284</v>
      </c>
      <c r="CO94" s="118">
        <f t="shared" si="109"/>
        <v>314</v>
      </c>
      <c r="CP94" s="118">
        <f t="shared" si="110"/>
        <v>327</v>
      </c>
      <c r="CQ94" s="57">
        <f t="shared" si="111"/>
        <v>1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</row>
    <row r="95" spans="1:1026" x14ac:dyDescent="0.2">
      <c r="A95" s="3" t="str">
        <f t="shared" si="84"/>
        <v>lpar1_human_4Z36</v>
      </c>
      <c r="B95" s="3" t="s">
        <v>296</v>
      </c>
      <c r="C95" s="3" t="s">
        <v>1263</v>
      </c>
      <c r="D95" s="3" t="str">
        <f>IFERROR(MID(VLOOKUP($B95,Seqs!$A:$B,2,0),E95,1),"")</f>
        <v>T</v>
      </c>
      <c r="E95" s="3">
        <v>47</v>
      </c>
      <c r="F95" s="3" t="str">
        <f>IFERROR(MID(VLOOKUP($B95,Seqs!$A:$B,2,0),G95,1),"")</f>
        <v>N</v>
      </c>
      <c r="G95" s="3">
        <v>77</v>
      </c>
      <c r="H95" s="3" t="str">
        <f>IFERROR(MID(VLOOKUP($B95,Seqs!$A:$B,2,0),I95,1),"")</f>
        <v>R</v>
      </c>
      <c r="I95" s="57">
        <v>78</v>
      </c>
      <c r="J95" s="3" t="str">
        <f>IFERROR(MID(VLOOKUP($B95,Seqs!$A:$B,2,0),K95,1),"")</f>
        <v>H</v>
      </c>
      <c r="K95" s="57">
        <v>81</v>
      </c>
      <c r="L95" s="3" t="str">
        <f>IFERROR(MID(VLOOKUP($B95,Seqs!$A:$B,2,0),M95,1),"")</f>
        <v>F</v>
      </c>
      <c r="M95" s="3">
        <v>82</v>
      </c>
      <c r="N95" s="3" t="str">
        <f>IFERROR(MID(VLOOKUP($B95,Seqs!$A:$B,2,0),O95,1),"")</f>
        <v>N</v>
      </c>
      <c r="O95" s="3">
        <v>108</v>
      </c>
      <c r="P95" s="3" t="str">
        <f>IFERROR(MID(VLOOKUP($B95,Seqs!$A:$B,2,0),Q95,1),"")</f>
        <v>G</v>
      </c>
      <c r="Q95" s="3">
        <v>110</v>
      </c>
      <c r="R95" s="3" t="str">
        <f>IFERROR(MID(VLOOKUP($B95,Seqs!$A:$B,2,0),S95,1),"")</f>
        <v>L</v>
      </c>
      <c r="S95" s="3">
        <v>116</v>
      </c>
      <c r="T95" s="3" t="str">
        <f>IFERROR(MID(VLOOKUP($B95,Seqs!$A:$B,2,0),U95,1),"")</f>
        <v>T</v>
      </c>
      <c r="U95" s="3">
        <v>117</v>
      </c>
      <c r="V95" s="3" t="str">
        <f>IFERROR(MID(VLOOKUP($B95,Seqs!$A:$B,2,0),W95,1),"")</f>
        <v>R</v>
      </c>
      <c r="W95" s="3">
        <v>152</v>
      </c>
      <c r="X95" s="3" t="str">
        <f>IFERROR(MID(VLOOKUP($B95,Seqs!$A:$B,2,0),Y95,1),"")</f>
        <v/>
      </c>
      <c r="Y95" s="3" t="s">
        <v>129</v>
      </c>
      <c r="Z95" s="3" t="str">
        <f>IFERROR(MID(VLOOKUP($B95,Seqs!$A:$B,2,0),AA95,1),"")</f>
        <v/>
      </c>
      <c r="AA95" s="3" t="s">
        <v>129</v>
      </c>
      <c r="AB95" s="3" t="str">
        <f>IFERROR(MID(VLOOKUP($B95,Seqs!$A:$B,2,0),AC95,1),"")</f>
        <v>R</v>
      </c>
      <c r="AC95" s="3">
        <v>158</v>
      </c>
      <c r="AD95" s="3" t="str">
        <f>IFERROR(MID(VLOOKUP($B95,Seqs!$A:$B,2,0),AE95,1),"")</f>
        <v>G</v>
      </c>
      <c r="AE95" s="3">
        <v>185</v>
      </c>
      <c r="AF95" s="3" t="str">
        <f>IFERROR(MID(VLOOKUP($B95,Seqs!$A:$B,2,0),AG95,1),"")</f>
        <v/>
      </c>
      <c r="AG95" s="3" t="s">
        <v>129</v>
      </c>
      <c r="AH95" s="3" t="str">
        <f>IFERROR(MID(VLOOKUP($B95,Seqs!$A:$B,2,0),AI95,1),"")</f>
        <v/>
      </c>
      <c r="AI95" s="3" t="s">
        <v>129</v>
      </c>
      <c r="AJ95" s="3" t="str">
        <f>IFERROR(MID(VLOOKUP($B95,Seqs!$A:$B,2,0),AK95,1),"")</f>
        <v>S</v>
      </c>
      <c r="AK95" s="3">
        <v>203</v>
      </c>
      <c r="AL95" s="3" t="str">
        <f>IFERROR(MID(VLOOKUP($B95,Seqs!$A:$B,2,0),AM95,1),"")</f>
        <v>R</v>
      </c>
      <c r="AM95" s="3">
        <v>235</v>
      </c>
      <c r="AN95" s="3" t="str">
        <f>IFERROR(MID(VLOOKUP($B95,Seqs!$A:$B,2,0),AO95,1),"")</f>
        <v>G</v>
      </c>
      <c r="AO95" s="3">
        <v>245</v>
      </c>
      <c r="AP95" s="3" t="str">
        <f>IFERROR(MID(VLOOKUP($B95,Seqs!$A:$B,2,0),AQ95,1),"")</f>
        <v>C</v>
      </c>
      <c r="AQ95" s="3">
        <v>284</v>
      </c>
      <c r="AR95" s="3" t="str">
        <f>IFERROR(MID(VLOOKUP($B95,Seqs!$A:$B,2,0),AS95,1),"")</f>
        <v>E</v>
      </c>
      <c r="AS95" s="3">
        <v>293</v>
      </c>
      <c r="AT95" s="3" t="str">
        <f>IFERROR(MID(VLOOKUP($B95,Seqs!$A:$B,2,0),AU95,1),"")</f>
        <v>R</v>
      </c>
      <c r="AU95" s="3">
        <v>314</v>
      </c>
      <c r="AV95" s="3" t="str">
        <f>IFERROR(MID(VLOOKUP($B95,Seqs!$A:$B,2,0),AW95,1),"")</f>
        <v>D</v>
      </c>
      <c r="AW95" s="3">
        <v>315</v>
      </c>
      <c r="AX95" s="3" t="str">
        <f>IFERROR(MID(VLOOKUP($B95,Seqs!$A:$B,2,0),AY95,1),"")</f>
        <v>C</v>
      </c>
      <c r="AY95" s="3">
        <v>327</v>
      </c>
      <c r="BA95" s="124" t="str">
        <f>VLOOKUP(B95,Classification!A:D,2,0)</f>
        <v>A</v>
      </c>
      <c r="BC95" s="1"/>
      <c r="BD95" s="5"/>
      <c r="BE95" s="57">
        <f t="shared" si="85"/>
        <v>243</v>
      </c>
      <c r="BF95" s="63" t="b">
        <f t="shared" si="86"/>
        <v>1</v>
      </c>
      <c r="BG95" s="116" t="s">
        <v>1513</v>
      </c>
      <c r="BH95" s="102" t="s">
        <v>1513</v>
      </c>
      <c r="BI95" s="102" t="s">
        <v>1513</v>
      </c>
      <c r="BJ95" s="102" t="s">
        <v>1513</v>
      </c>
      <c r="BK95" s="102" t="s">
        <v>1513</v>
      </c>
      <c r="BL95" s="102" t="s">
        <v>1513</v>
      </c>
      <c r="BM95" s="102" t="s">
        <v>1513</v>
      </c>
      <c r="BN95" s="102" t="s">
        <v>1513</v>
      </c>
      <c r="BO95" s="102" t="s">
        <v>1513</v>
      </c>
      <c r="BP95" s="102" t="s">
        <v>1513</v>
      </c>
      <c r="BQ95" s="102" t="s">
        <v>1513</v>
      </c>
      <c r="BR95" s="102" t="s">
        <v>1513</v>
      </c>
      <c r="BS95" s="116">
        <f t="shared" si="87"/>
        <v>47</v>
      </c>
      <c r="BT95" s="117">
        <f t="shared" si="88"/>
        <v>78</v>
      </c>
      <c r="BU95" s="118">
        <f t="shared" si="89"/>
        <v>82</v>
      </c>
      <c r="BV95" s="117">
        <f t="shared" si="90"/>
        <v>110</v>
      </c>
      <c r="BW95" s="118">
        <f t="shared" si="91"/>
        <v>117</v>
      </c>
      <c r="BX95" s="117" t="str">
        <f t="shared" si="92"/>
        <v>-</v>
      </c>
      <c r="BY95" s="118">
        <f t="shared" si="93"/>
        <v>158</v>
      </c>
      <c r="BZ95" s="117" t="str">
        <f t="shared" si="94"/>
        <v>-</v>
      </c>
      <c r="CA95" s="118">
        <f t="shared" si="95"/>
        <v>203</v>
      </c>
      <c r="CB95" s="117">
        <f t="shared" si="96"/>
        <v>245</v>
      </c>
      <c r="CC95" s="118">
        <f t="shared" si="97"/>
        <v>293</v>
      </c>
      <c r="CD95" s="117">
        <f t="shared" si="98"/>
        <v>315</v>
      </c>
      <c r="CE95" s="116">
        <f t="shared" si="99"/>
        <v>77</v>
      </c>
      <c r="CF95" s="117">
        <f t="shared" si="100"/>
        <v>81</v>
      </c>
      <c r="CG95" s="118">
        <f t="shared" si="101"/>
        <v>108</v>
      </c>
      <c r="CH95" s="118">
        <f t="shared" si="102"/>
        <v>116</v>
      </c>
      <c r="CI95" s="118">
        <f t="shared" si="103"/>
        <v>152</v>
      </c>
      <c r="CJ95" s="118" t="str">
        <f t="shared" si="104"/>
        <v>-</v>
      </c>
      <c r="CK95" s="118">
        <f t="shared" si="105"/>
        <v>185</v>
      </c>
      <c r="CL95" s="118" t="str">
        <f t="shared" si="106"/>
        <v>-</v>
      </c>
      <c r="CM95" s="118">
        <f t="shared" si="107"/>
        <v>235</v>
      </c>
      <c r="CN95" s="118">
        <f t="shared" si="108"/>
        <v>284</v>
      </c>
      <c r="CO95" s="118">
        <f t="shared" si="109"/>
        <v>314</v>
      </c>
      <c r="CP95" s="118">
        <f t="shared" si="110"/>
        <v>327</v>
      </c>
      <c r="CQ95" s="57">
        <f t="shared" si="111"/>
        <v>1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</row>
    <row r="96" spans="1:1026" x14ac:dyDescent="0.2">
      <c r="A96" s="3" t="str">
        <f t="shared" si="84"/>
        <v>ntr1_rat__wt</v>
      </c>
      <c r="B96" s="3" t="s">
        <v>1109</v>
      </c>
      <c r="C96" s="3" t="s">
        <v>293</v>
      </c>
      <c r="D96" s="3" t="str">
        <f>IFERROR(MID(VLOOKUP($B96,Seqs!$A:$B,2,0),E96,1),"")</f>
        <v>I</v>
      </c>
      <c r="E96" s="3">
        <v>61</v>
      </c>
      <c r="F96" s="3" t="str">
        <f>IFERROR(MID(VLOOKUP($B96,Seqs!$A:$B,2,0),G96,1),"")</f>
        <v>K</v>
      </c>
      <c r="G96" s="3">
        <v>92</v>
      </c>
      <c r="H96" s="3" t="str">
        <f>IFERROR(MID(VLOOKUP($B96,Seqs!$A:$B,2,0),I96,1),"")</f>
        <v>K</v>
      </c>
      <c r="I96" s="57">
        <v>93</v>
      </c>
      <c r="J96" s="3" t="str">
        <f>IFERROR(MID(VLOOKUP($B96,Seqs!$A:$B,2,0),K96,1),"")</f>
        <v>Q</v>
      </c>
      <c r="K96" s="57">
        <v>96</v>
      </c>
      <c r="L96" s="3" t="str">
        <f>IFERROR(MID(VLOOKUP($B96,Seqs!$A:$B,2,0),M96,1),"")</f>
        <v>S</v>
      </c>
      <c r="M96" s="3">
        <v>97</v>
      </c>
      <c r="N96" s="3" t="str">
        <f>IFERROR(MID(VLOOKUP($B96,Seqs!$A:$B,2,0),O96,1),"")</f>
        <v>V</v>
      </c>
      <c r="O96" s="3">
        <v>131</v>
      </c>
      <c r="P96" s="3" t="str">
        <f>IFERROR(MID(VLOOKUP($B96,Seqs!$A:$B,2,0),Q96,1),"")</f>
        <v>P</v>
      </c>
      <c r="Q96" s="3">
        <v>134</v>
      </c>
      <c r="R96" s="3" t="str">
        <f>IFERROR(MID(VLOOKUP($B96,Seqs!$A:$B,2,0),S96,1),"")</f>
        <v>F</v>
      </c>
      <c r="S96" s="3">
        <v>137</v>
      </c>
      <c r="T96" s="3" t="str">
        <f>IFERROR(MID(VLOOKUP($B96,Seqs!$A:$B,2,0),U96,1),"")</f>
        <v>G</v>
      </c>
      <c r="U96" s="3">
        <v>138</v>
      </c>
      <c r="V96" s="3" t="str">
        <f>IFERROR(MID(VLOOKUP($B96,Seqs!$A:$B,2,0),W96,1),"")</f>
        <v>H</v>
      </c>
      <c r="W96" s="3">
        <v>173</v>
      </c>
      <c r="X96" s="3" t="str">
        <f>IFERROR(MID(VLOOKUP($B96,Seqs!$A:$B,2,0),Y96,1),"")</f>
        <v>P</v>
      </c>
      <c r="Y96" s="3">
        <v>174</v>
      </c>
      <c r="Z96" s="3" t="str">
        <f>IFERROR(MID(VLOOKUP($B96,Seqs!$A:$B,2,0),AA96,1),"")</f>
        <v>M</v>
      </c>
      <c r="AA96" s="3">
        <v>181</v>
      </c>
      <c r="AB96" s="3" t="str">
        <f>IFERROR(MID(VLOOKUP($B96,Seqs!$A:$B,2,0),AC96,1),"")</f>
        <v>R</v>
      </c>
      <c r="AC96" s="3">
        <v>183</v>
      </c>
      <c r="AD96" s="3" t="str">
        <f>IFERROR(MID(VLOOKUP($B96,Seqs!$A:$B,2,0),AE96,1),"")</f>
        <v>M</v>
      </c>
      <c r="AE96" s="3">
        <v>208</v>
      </c>
      <c r="AF96" s="3" t="str">
        <f>IFERROR(MID(VLOOKUP($B96,Seqs!$A:$B,2,0),AG96,1),"")</f>
        <v>C</v>
      </c>
      <c r="AG96" s="3">
        <v>225</v>
      </c>
      <c r="AH96" s="3" t="str">
        <f>IFERROR(MID(VLOOKUP($B96,Seqs!$A:$B,2,0),AI96,1),"")</f>
        <v>P</v>
      </c>
      <c r="AI96" s="3">
        <v>227</v>
      </c>
      <c r="AJ96" s="3" t="str">
        <f>IFERROR(MID(VLOOKUP($B96,Seqs!$A:$B,2,0),AK96,1),"")</f>
        <v>T</v>
      </c>
      <c r="AK96" s="3">
        <v>231</v>
      </c>
      <c r="AL96" s="3" t="str">
        <f>IFERROR(MID(VLOOKUP($B96,Seqs!$A:$B,2,0),AM96,1),"")</f>
        <v>G</v>
      </c>
      <c r="AM96" s="3">
        <v>275</v>
      </c>
      <c r="AN96" s="3" t="str">
        <f>IFERROR(MID(VLOOKUP($B96,Seqs!$A:$B,2,0),AO96,1),"")</f>
        <v>P</v>
      </c>
      <c r="AO96" s="3">
        <v>297</v>
      </c>
      <c r="AP96" s="3" t="str">
        <f>IFERROR(MID(VLOOKUP($B96,Seqs!$A:$B,2,0),AQ96,1),"")</f>
        <v>I</v>
      </c>
      <c r="AQ96" s="3">
        <v>334</v>
      </c>
      <c r="AR96" s="3" t="str">
        <f>IFERROR(MID(VLOOKUP($B96,Seqs!$A:$B,2,0),AS96,1),"")</f>
        <v>T</v>
      </c>
      <c r="AS96" s="3">
        <v>340</v>
      </c>
      <c r="AT96" s="3" t="str">
        <f>IFERROR(MID(VLOOKUP($B96,Seqs!$A:$B,2,0),AU96,1),"")</f>
        <v>V</v>
      </c>
      <c r="AU96" s="3">
        <v>372</v>
      </c>
      <c r="AV96" s="3" t="str">
        <f>IFERROR(MID(VLOOKUP($B96,Seqs!$A:$B,2,0),AW96,1),"")</f>
        <v>S</v>
      </c>
      <c r="AW96" s="3">
        <v>373</v>
      </c>
      <c r="AX96" s="3" t="str">
        <f>IFERROR(MID(VLOOKUP($B96,Seqs!$A:$B,2,0),AY96,1),"")</f>
        <v>L</v>
      </c>
      <c r="AY96" s="3">
        <v>384</v>
      </c>
      <c r="BA96" s="124" t="str">
        <f>VLOOKUP(B96,Classification!A:D,2,0)</f>
        <v>A</v>
      </c>
      <c r="BC96" s="3" t="s">
        <v>1388</v>
      </c>
      <c r="BD96" s="72">
        <f>S96-Q96+1</f>
        <v>4</v>
      </c>
      <c r="BE96" s="57">
        <f t="shared" si="85"/>
        <v>276</v>
      </c>
      <c r="BF96" s="63" t="b">
        <f t="shared" si="86"/>
        <v>1</v>
      </c>
      <c r="BG96" s="116" t="s">
        <v>1513</v>
      </c>
      <c r="BH96" s="102" t="s">
        <v>1513</v>
      </c>
      <c r="BI96" s="102" t="s">
        <v>1513</v>
      </c>
      <c r="BJ96" s="102" t="s">
        <v>1513</v>
      </c>
      <c r="BK96" s="102" t="s">
        <v>1513</v>
      </c>
      <c r="BL96" s="102" t="s">
        <v>1513</v>
      </c>
      <c r="BM96" s="102" t="s">
        <v>1513</v>
      </c>
      <c r="BN96" s="102" t="s">
        <v>1513</v>
      </c>
      <c r="BO96" s="102" t="s">
        <v>1513</v>
      </c>
      <c r="BP96" s="102" t="s">
        <v>1513</v>
      </c>
      <c r="BQ96" s="102" t="s">
        <v>1513</v>
      </c>
      <c r="BR96" s="102" t="s">
        <v>1513</v>
      </c>
      <c r="BS96" s="116">
        <f t="shared" si="87"/>
        <v>61</v>
      </c>
      <c r="BT96" s="117">
        <f t="shared" si="88"/>
        <v>93</v>
      </c>
      <c r="BU96" s="118">
        <f t="shared" si="89"/>
        <v>97</v>
      </c>
      <c r="BV96" s="117">
        <f t="shared" si="90"/>
        <v>134</v>
      </c>
      <c r="BW96" s="118">
        <f t="shared" si="91"/>
        <v>138</v>
      </c>
      <c r="BX96" s="117">
        <f t="shared" si="92"/>
        <v>174</v>
      </c>
      <c r="BY96" s="118">
        <f t="shared" si="93"/>
        <v>183</v>
      </c>
      <c r="BZ96" s="117">
        <f t="shared" si="94"/>
        <v>225</v>
      </c>
      <c r="CA96" s="118">
        <f t="shared" si="95"/>
        <v>231</v>
      </c>
      <c r="CB96" s="117">
        <f t="shared" si="96"/>
        <v>297</v>
      </c>
      <c r="CC96" s="118">
        <f t="shared" si="97"/>
        <v>340</v>
      </c>
      <c r="CD96" s="117">
        <f t="shared" si="98"/>
        <v>373</v>
      </c>
      <c r="CE96" s="116">
        <f t="shared" si="99"/>
        <v>92</v>
      </c>
      <c r="CF96" s="117">
        <f t="shared" si="100"/>
        <v>96</v>
      </c>
      <c r="CG96" s="118">
        <f t="shared" si="101"/>
        <v>131</v>
      </c>
      <c r="CH96" s="118">
        <f t="shared" si="102"/>
        <v>137</v>
      </c>
      <c r="CI96" s="118">
        <f t="shared" si="103"/>
        <v>173</v>
      </c>
      <c r="CJ96" s="118">
        <f t="shared" si="104"/>
        <v>181</v>
      </c>
      <c r="CK96" s="118">
        <f t="shared" si="105"/>
        <v>208</v>
      </c>
      <c r="CL96" s="118">
        <f t="shared" si="106"/>
        <v>227</v>
      </c>
      <c r="CM96" s="118">
        <f t="shared" si="107"/>
        <v>275</v>
      </c>
      <c r="CN96" s="118">
        <f t="shared" si="108"/>
        <v>334</v>
      </c>
      <c r="CO96" s="118">
        <f t="shared" si="109"/>
        <v>372</v>
      </c>
      <c r="CP96" s="118">
        <f t="shared" si="110"/>
        <v>384</v>
      </c>
      <c r="CQ96" s="57">
        <f t="shared" si="111"/>
        <v>1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</row>
    <row r="97" spans="1:1026" x14ac:dyDescent="0.2">
      <c r="A97" s="3" t="str">
        <f t="shared" si="84"/>
        <v>ntr1_rat_4BUO</v>
      </c>
      <c r="B97" s="3" t="s">
        <v>1109</v>
      </c>
      <c r="C97" s="3" t="s">
        <v>1566</v>
      </c>
      <c r="D97" s="3" t="str">
        <f>IFERROR(MID(VLOOKUP($B97,Seqs!$A:$B,2,0),E97,1),"")</f>
        <v>I</v>
      </c>
      <c r="E97" s="3">
        <v>61</v>
      </c>
      <c r="F97" s="3" t="str">
        <f>IFERROR(MID(VLOOKUP($B97,Seqs!$A:$B,2,0),G97,1),"")</f>
        <v>R</v>
      </c>
      <c r="G97" s="3">
        <v>91</v>
      </c>
      <c r="H97" s="3" t="str">
        <f>IFERROR(MID(VLOOKUP($B97,Seqs!$A:$B,2,0),I97,1),"")</f>
        <v/>
      </c>
      <c r="I97" s="57" t="s">
        <v>129</v>
      </c>
      <c r="J97" s="3" t="str">
        <f>IFERROR(MID(VLOOKUP($B97,Seqs!$A:$B,2,0),K97,1),"")</f>
        <v/>
      </c>
      <c r="K97" s="57" t="s">
        <v>129</v>
      </c>
      <c r="L97" s="3" t="str">
        <f>IFERROR(MID(VLOOKUP($B97,Seqs!$A:$B,2,0),M97,1),"")</f>
        <v>S</v>
      </c>
      <c r="M97" s="3">
        <v>97</v>
      </c>
      <c r="N97" s="3" t="str">
        <f>IFERROR(MID(VLOOKUP($B97,Seqs!$A:$B,2,0),O97,1),"")</f>
        <v>V</v>
      </c>
      <c r="O97" s="3">
        <v>131</v>
      </c>
      <c r="P97" s="3" t="str">
        <f>IFERROR(MID(VLOOKUP($B97,Seqs!$A:$B,2,0),Q97,1),"")</f>
        <v>P</v>
      </c>
      <c r="Q97" s="3">
        <v>134</v>
      </c>
      <c r="R97" s="3" t="str">
        <f>IFERROR(MID(VLOOKUP($B97,Seqs!$A:$B,2,0),S97,1),"")</f>
        <v>F</v>
      </c>
      <c r="S97" s="3">
        <v>137</v>
      </c>
      <c r="T97" s="3" t="str">
        <f>IFERROR(MID(VLOOKUP($B97,Seqs!$A:$B,2,0),U97,1),"")</f>
        <v>G</v>
      </c>
      <c r="U97" s="3">
        <v>138</v>
      </c>
      <c r="V97" s="3" t="str">
        <f>IFERROR(MID(VLOOKUP($B97,Seqs!$A:$B,2,0),W97,1),"")</f>
        <v>H</v>
      </c>
      <c r="W97" s="3">
        <v>173</v>
      </c>
      <c r="X97" s="3" t="str">
        <f>IFERROR(MID(VLOOKUP($B97,Seqs!$A:$B,2,0),Y97,1),"")</f>
        <v>P</v>
      </c>
      <c r="Y97" s="3">
        <v>174</v>
      </c>
      <c r="Z97" s="3" t="str">
        <f>IFERROR(MID(VLOOKUP($B97,Seqs!$A:$B,2,0),AA97,1),"")</f>
        <v>K</v>
      </c>
      <c r="AA97" s="3">
        <v>178</v>
      </c>
      <c r="AB97" s="3" t="str">
        <f>IFERROR(MID(VLOOKUP($B97,Seqs!$A:$B,2,0),AC97,1),"")</f>
        <v>R</v>
      </c>
      <c r="AC97" s="3">
        <v>183</v>
      </c>
      <c r="AD97" s="3" t="str">
        <f>IFERROR(MID(VLOOKUP($B97,Seqs!$A:$B,2,0),AE97,1),"")</f>
        <v>M</v>
      </c>
      <c r="AE97" s="3">
        <v>208</v>
      </c>
      <c r="AF97" s="3" t="str">
        <f>IFERROR(MID(VLOOKUP($B97,Seqs!$A:$B,2,0),AG97,1),"")</f>
        <v>C</v>
      </c>
      <c r="AG97" s="3">
        <v>225</v>
      </c>
      <c r="AH97" s="3" t="str">
        <f>IFERROR(MID(VLOOKUP($B97,Seqs!$A:$B,2,0),AI97,1),"")</f>
        <v>P</v>
      </c>
      <c r="AI97" s="3">
        <v>227</v>
      </c>
      <c r="AJ97" s="3" t="str">
        <f>IFERROR(MID(VLOOKUP($B97,Seqs!$A:$B,2,0),AK97,1),"")</f>
        <v>T</v>
      </c>
      <c r="AK97" s="3">
        <v>231</v>
      </c>
      <c r="AL97" s="3" t="str">
        <f>IFERROR(MID(VLOOKUP($B97,Seqs!$A:$B,2,0),AM97,1),"")</f>
        <v>Q</v>
      </c>
      <c r="AM97" s="3">
        <v>270</v>
      </c>
      <c r="AN97" s="3" t="str">
        <f>IFERROR(MID(VLOOKUP($B97,Seqs!$A:$B,2,0),AO97,1),"")</f>
        <v>G</v>
      </c>
      <c r="AO97" s="3">
        <v>298</v>
      </c>
      <c r="AP97" s="3" t="str">
        <f>IFERROR(MID(VLOOKUP($B97,Seqs!$A:$B,2,0),AQ97,1),"")</f>
        <v>I</v>
      </c>
      <c r="AQ97" s="3">
        <v>334</v>
      </c>
      <c r="AR97" s="3" t="str">
        <f>IFERROR(MID(VLOOKUP($B97,Seqs!$A:$B,2,0),AS97,1),"")</f>
        <v>T</v>
      </c>
      <c r="AS97" s="3">
        <v>340</v>
      </c>
      <c r="AT97" s="3" t="str">
        <f>IFERROR(MID(VLOOKUP($B97,Seqs!$A:$B,2,0),AU97,1),"")</f>
        <v>V</v>
      </c>
      <c r="AU97" s="3">
        <v>372</v>
      </c>
      <c r="AV97" s="3" t="str">
        <f>IFERROR(MID(VLOOKUP($B97,Seqs!$A:$B,2,0),AW97,1),"")</f>
        <v>S</v>
      </c>
      <c r="AW97" s="3">
        <v>373</v>
      </c>
      <c r="AX97" s="3" t="str">
        <f>IFERROR(MID(VLOOKUP($B97,Seqs!$A:$B,2,0),AY97,1),"")</f>
        <v>L</v>
      </c>
      <c r="AY97" s="3">
        <v>384</v>
      </c>
      <c r="BA97" s="124" t="str">
        <f>VLOOKUP(B97,Classification!A:D,2,0)</f>
        <v>A</v>
      </c>
      <c r="BC97" s="1"/>
      <c r="BD97" s="5"/>
      <c r="BE97" s="57">
        <f t="shared" si="85"/>
        <v>263</v>
      </c>
      <c r="BF97" s="63" t="b">
        <f t="shared" si="86"/>
        <v>1</v>
      </c>
      <c r="BG97" s="116" t="s">
        <v>1513</v>
      </c>
      <c r="BH97" s="102" t="s">
        <v>1513</v>
      </c>
      <c r="BI97" s="102" t="s">
        <v>1513</v>
      </c>
      <c r="BJ97" s="102" t="s">
        <v>1513</v>
      </c>
      <c r="BK97" s="102" t="s">
        <v>1513</v>
      </c>
      <c r="BL97" s="102" t="s">
        <v>1513</v>
      </c>
      <c r="BM97" s="102" t="s">
        <v>1513</v>
      </c>
      <c r="BN97" s="102" t="s">
        <v>1513</v>
      </c>
      <c r="BO97" s="102" t="s">
        <v>1513</v>
      </c>
      <c r="BP97" s="102" t="s">
        <v>1513</v>
      </c>
      <c r="BQ97" s="102" t="s">
        <v>1513</v>
      </c>
      <c r="BR97" s="102" t="s">
        <v>1513</v>
      </c>
      <c r="BS97" s="116">
        <f t="shared" si="87"/>
        <v>61</v>
      </c>
      <c r="BT97" s="117" t="str">
        <f t="shared" si="88"/>
        <v>-</v>
      </c>
      <c r="BU97" s="118">
        <f t="shared" si="89"/>
        <v>97</v>
      </c>
      <c r="BV97" s="117">
        <f t="shared" si="90"/>
        <v>134</v>
      </c>
      <c r="BW97" s="118">
        <f t="shared" si="91"/>
        <v>138</v>
      </c>
      <c r="BX97" s="117">
        <f t="shared" si="92"/>
        <v>174</v>
      </c>
      <c r="BY97" s="118">
        <f t="shared" si="93"/>
        <v>183</v>
      </c>
      <c r="BZ97" s="117">
        <f t="shared" si="94"/>
        <v>225</v>
      </c>
      <c r="CA97" s="118">
        <f t="shared" si="95"/>
        <v>231</v>
      </c>
      <c r="CB97" s="117">
        <f t="shared" si="96"/>
        <v>298</v>
      </c>
      <c r="CC97" s="118">
        <f t="shared" si="97"/>
        <v>340</v>
      </c>
      <c r="CD97" s="117">
        <f t="shared" si="98"/>
        <v>373</v>
      </c>
      <c r="CE97" s="116">
        <f t="shared" si="99"/>
        <v>91</v>
      </c>
      <c r="CF97" s="117" t="str">
        <f t="shared" si="100"/>
        <v>-</v>
      </c>
      <c r="CG97" s="118">
        <f t="shared" si="101"/>
        <v>131</v>
      </c>
      <c r="CH97" s="118">
        <f t="shared" si="102"/>
        <v>137</v>
      </c>
      <c r="CI97" s="118">
        <f t="shared" si="103"/>
        <v>173</v>
      </c>
      <c r="CJ97" s="118">
        <f t="shared" si="104"/>
        <v>178</v>
      </c>
      <c r="CK97" s="118">
        <f t="shared" si="105"/>
        <v>208</v>
      </c>
      <c r="CL97" s="118">
        <f t="shared" si="106"/>
        <v>227</v>
      </c>
      <c r="CM97" s="118">
        <f t="shared" si="107"/>
        <v>270</v>
      </c>
      <c r="CN97" s="118">
        <f t="shared" si="108"/>
        <v>334</v>
      </c>
      <c r="CO97" s="118">
        <f t="shared" si="109"/>
        <v>372</v>
      </c>
      <c r="CP97" s="118">
        <f t="shared" si="110"/>
        <v>384</v>
      </c>
      <c r="CQ97" s="57" t="e">
        <f t="shared" si="111"/>
        <v>#VALUE!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</row>
    <row r="98" spans="1:1026" x14ac:dyDescent="0.2">
      <c r="A98" s="3" t="str">
        <f t="shared" si="84"/>
        <v>ntr1_rat_4XEE</v>
      </c>
      <c r="B98" s="3" t="s">
        <v>1109</v>
      </c>
      <c r="C98" s="3" t="s">
        <v>1584</v>
      </c>
      <c r="D98" s="3" t="str">
        <f>IFERROR(MID(VLOOKUP($B98,Seqs!$A:$B,2,0),E98,1),"")</f>
        <v>I</v>
      </c>
      <c r="E98" s="3">
        <v>61</v>
      </c>
      <c r="F98" s="3" t="str">
        <f>IFERROR(MID(VLOOKUP($B98,Seqs!$A:$B,2,0),G98,1),"")</f>
        <v>R</v>
      </c>
      <c r="G98" s="3">
        <v>91</v>
      </c>
      <c r="H98" s="3" t="str">
        <f>IFERROR(MID(VLOOKUP($B98,Seqs!$A:$B,2,0),I98,1),"")</f>
        <v/>
      </c>
      <c r="I98" s="57" t="s">
        <v>129</v>
      </c>
      <c r="J98" s="3" t="str">
        <f>IFERROR(MID(VLOOKUP($B98,Seqs!$A:$B,2,0),K98,1),"")</f>
        <v/>
      </c>
      <c r="K98" s="57" t="s">
        <v>129</v>
      </c>
      <c r="L98" s="3" t="str">
        <f>IFERROR(MID(VLOOKUP($B98,Seqs!$A:$B,2,0),M98,1),"")</f>
        <v>S</v>
      </c>
      <c r="M98" s="3">
        <v>100</v>
      </c>
      <c r="N98" s="3" t="str">
        <f>IFERROR(MID(VLOOKUP($B98,Seqs!$A:$B,2,0),O98,1),"")</f>
        <v>V</v>
      </c>
      <c r="O98" s="3">
        <v>131</v>
      </c>
      <c r="P98" s="3" t="str">
        <f>IFERROR(MID(VLOOKUP($B98,Seqs!$A:$B,2,0),Q98,1),"")</f>
        <v>P</v>
      </c>
      <c r="Q98" s="3">
        <v>134</v>
      </c>
      <c r="R98" s="3" t="str">
        <f>IFERROR(MID(VLOOKUP($B98,Seqs!$A:$B,2,0),S98,1),"")</f>
        <v>F</v>
      </c>
      <c r="S98" s="3">
        <v>137</v>
      </c>
      <c r="T98" s="3" t="str">
        <f>IFERROR(MID(VLOOKUP($B98,Seqs!$A:$B,2,0),U98,1),"")</f>
        <v>G</v>
      </c>
      <c r="U98" s="3">
        <v>138</v>
      </c>
      <c r="V98" s="3" t="str">
        <f>IFERROR(MID(VLOOKUP($B98,Seqs!$A:$B,2,0),W98,1),"")</f>
        <v>H</v>
      </c>
      <c r="W98" s="3">
        <v>173</v>
      </c>
      <c r="X98" s="3" t="str">
        <f>IFERROR(MID(VLOOKUP($B98,Seqs!$A:$B,2,0),Y98,1),"")</f>
        <v>P</v>
      </c>
      <c r="Y98" s="3">
        <v>174</v>
      </c>
      <c r="Z98" s="3" t="str">
        <f>IFERROR(MID(VLOOKUP($B98,Seqs!$A:$B,2,0),AA98,1),"")</f>
        <v>M</v>
      </c>
      <c r="AA98" s="3">
        <v>181</v>
      </c>
      <c r="AB98" s="3" t="str">
        <f>IFERROR(MID(VLOOKUP($B98,Seqs!$A:$B,2,0),AC98,1),"")</f>
        <v>R</v>
      </c>
      <c r="AC98" s="3">
        <v>183</v>
      </c>
      <c r="AD98" s="3" t="str">
        <f>IFERROR(MID(VLOOKUP($B98,Seqs!$A:$B,2,0),AE98,1),"")</f>
        <v>M</v>
      </c>
      <c r="AE98" s="3">
        <v>208</v>
      </c>
      <c r="AF98" s="3" t="str">
        <f>IFERROR(MID(VLOOKUP($B98,Seqs!$A:$B,2,0),AG98,1),"")</f>
        <v>C</v>
      </c>
      <c r="AG98" s="3">
        <v>225</v>
      </c>
      <c r="AH98" s="3" t="str">
        <f>IFERROR(MID(VLOOKUP($B98,Seqs!$A:$B,2,0),AI98,1),"")</f>
        <v>P</v>
      </c>
      <c r="AI98" s="3">
        <v>227</v>
      </c>
      <c r="AJ98" s="3" t="str">
        <f>IFERROR(MID(VLOOKUP($B98,Seqs!$A:$B,2,0),AK98,1),"")</f>
        <v>T</v>
      </c>
      <c r="AK98" s="3">
        <v>231</v>
      </c>
      <c r="AL98" s="3" t="str">
        <f>IFERROR(MID(VLOOKUP($B98,Seqs!$A:$B,2,0),AM98,1),"")</f>
        <v>V</v>
      </c>
      <c r="AM98" s="3">
        <v>268</v>
      </c>
      <c r="AN98" s="3" t="str">
        <f>IFERROR(MID(VLOOKUP($B98,Seqs!$A:$B,2,0),AO98,1),"")</f>
        <v>Q</v>
      </c>
      <c r="AO98" s="127">
        <v>301</v>
      </c>
      <c r="AP98" s="3" t="str">
        <f>IFERROR(MID(VLOOKUP($B98,Seqs!$A:$B,2,0),AQ98,1),"")</f>
        <v>I</v>
      </c>
      <c r="AQ98" s="3">
        <v>334</v>
      </c>
      <c r="AR98" s="3" t="str">
        <f>IFERROR(MID(VLOOKUP($B98,Seqs!$A:$B,2,0),AS98,1),"")</f>
        <v>T</v>
      </c>
      <c r="AS98" s="3">
        <v>340</v>
      </c>
      <c r="AT98" s="3" t="str">
        <f>IFERROR(MID(VLOOKUP($B98,Seqs!$A:$B,2,0),AU98,1),"")</f>
        <v>I</v>
      </c>
      <c r="AU98" s="3">
        <v>364</v>
      </c>
      <c r="AV98" s="3" t="str">
        <f>IFERROR(MID(VLOOKUP($B98,Seqs!$A:$B,2,0),AW98,1),"")</f>
        <v/>
      </c>
      <c r="AW98" s="3" t="s">
        <v>129</v>
      </c>
      <c r="AX98" s="3" t="str">
        <f>IFERROR(MID(VLOOKUP($B98,Seqs!$A:$B,2,0),AY98,1),"")</f>
        <v/>
      </c>
      <c r="AY98" s="3" t="s">
        <v>129</v>
      </c>
      <c r="BA98" s="124" t="str">
        <f>VLOOKUP(B98,Classification!A:D,2,0)</f>
        <v>A</v>
      </c>
      <c r="BB98" s="90" t="s">
        <v>1596</v>
      </c>
      <c r="BC98" s="1"/>
      <c r="BD98" s="4"/>
      <c r="BE98" s="57">
        <f t="shared" si="85"/>
        <v>239</v>
      </c>
      <c r="BF98" s="63" t="b">
        <f t="shared" si="86"/>
        <v>1</v>
      </c>
      <c r="BG98" s="116" t="s">
        <v>1513</v>
      </c>
      <c r="BH98" s="102" t="s">
        <v>1513</v>
      </c>
      <c r="BI98" s="102" t="s">
        <v>1513</v>
      </c>
      <c r="BJ98" s="102" t="s">
        <v>1513</v>
      </c>
      <c r="BK98" s="102" t="s">
        <v>1513</v>
      </c>
      <c r="BL98" s="102" t="s">
        <v>1513</v>
      </c>
      <c r="BM98" s="102" t="s">
        <v>1513</v>
      </c>
      <c r="BN98" s="102" t="s">
        <v>1513</v>
      </c>
      <c r="BO98" s="102" t="s">
        <v>1513</v>
      </c>
      <c r="BP98" s="102" t="s">
        <v>1513</v>
      </c>
      <c r="BQ98" s="102" t="s">
        <v>1513</v>
      </c>
      <c r="BR98" s="102" t="s">
        <v>1513</v>
      </c>
      <c r="BS98" s="116">
        <f t="shared" si="87"/>
        <v>61</v>
      </c>
      <c r="BT98" s="117" t="str">
        <f t="shared" si="88"/>
        <v>-</v>
      </c>
      <c r="BU98" s="118">
        <f t="shared" si="89"/>
        <v>100</v>
      </c>
      <c r="BV98" s="117">
        <f t="shared" si="90"/>
        <v>134</v>
      </c>
      <c r="BW98" s="118">
        <f t="shared" si="91"/>
        <v>138</v>
      </c>
      <c r="BX98" s="117">
        <f t="shared" si="92"/>
        <v>174</v>
      </c>
      <c r="BY98" s="118">
        <f t="shared" si="93"/>
        <v>183</v>
      </c>
      <c r="BZ98" s="117">
        <f t="shared" si="94"/>
        <v>225</v>
      </c>
      <c r="CA98" s="118">
        <f t="shared" si="95"/>
        <v>231</v>
      </c>
      <c r="CB98" s="117">
        <f t="shared" si="96"/>
        <v>301</v>
      </c>
      <c r="CC98" s="118">
        <f t="shared" si="97"/>
        <v>340</v>
      </c>
      <c r="CD98" s="117" t="str">
        <f t="shared" si="98"/>
        <v>-</v>
      </c>
      <c r="CE98" s="116">
        <f t="shared" si="99"/>
        <v>91</v>
      </c>
      <c r="CF98" s="117" t="str">
        <f t="shared" si="100"/>
        <v>-</v>
      </c>
      <c r="CG98" s="118">
        <f t="shared" si="101"/>
        <v>131</v>
      </c>
      <c r="CH98" s="118">
        <f t="shared" si="102"/>
        <v>137</v>
      </c>
      <c r="CI98" s="118">
        <f t="shared" si="103"/>
        <v>173</v>
      </c>
      <c r="CJ98" s="118">
        <f t="shared" si="104"/>
        <v>181</v>
      </c>
      <c r="CK98" s="118">
        <f t="shared" si="105"/>
        <v>208</v>
      </c>
      <c r="CL98" s="118">
        <f t="shared" si="106"/>
        <v>227</v>
      </c>
      <c r="CM98" s="118">
        <f t="shared" si="107"/>
        <v>268</v>
      </c>
      <c r="CN98" s="118">
        <f t="shared" si="108"/>
        <v>334</v>
      </c>
      <c r="CO98" s="118">
        <f t="shared" si="109"/>
        <v>364</v>
      </c>
      <c r="CP98" s="118" t="str">
        <f t="shared" si="110"/>
        <v>-</v>
      </c>
      <c r="CQ98" s="57" t="e">
        <f t="shared" si="111"/>
        <v>#VALUE!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</row>
    <row r="99" spans="1:1026" x14ac:dyDescent="0.2">
      <c r="A99" s="3" t="str">
        <f t="shared" si="84"/>
        <v>ntr1_rat_4XES</v>
      </c>
      <c r="B99" s="3" t="s">
        <v>1109</v>
      </c>
      <c r="C99" s="3" t="s">
        <v>1585</v>
      </c>
      <c r="D99" s="3" t="str">
        <f>IFERROR(MID(VLOOKUP($B99,Seqs!$A:$B,2,0),E99,1),"")</f>
        <v>I</v>
      </c>
      <c r="E99" s="3">
        <v>61</v>
      </c>
      <c r="F99" s="3" t="str">
        <f>IFERROR(MID(VLOOKUP($B99,Seqs!$A:$B,2,0),G99,1),"")</f>
        <v>K</v>
      </c>
      <c r="G99" s="3">
        <v>92</v>
      </c>
      <c r="H99" s="3" t="str">
        <f>IFERROR(MID(VLOOKUP($B99,Seqs!$A:$B,2,0),I99,1),"")</f>
        <v/>
      </c>
      <c r="I99" s="57" t="s">
        <v>129</v>
      </c>
      <c r="J99" s="3" t="str">
        <f>IFERROR(MID(VLOOKUP($B99,Seqs!$A:$B,2,0),K99,1),"")</f>
        <v/>
      </c>
      <c r="K99" s="57" t="s">
        <v>129</v>
      </c>
      <c r="L99" s="3" t="str">
        <f>IFERROR(MID(VLOOKUP($B99,Seqs!$A:$B,2,0),M99,1),"")</f>
        <v>S</v>
      </c>
      <c r="M99" s="3">
        <v>97</v>
      </c>
      <c r="N99" s="3" t="str">
        <f>IFERROR(MID(VLOOKUP($B99,Seqs!$A:$B,2,0),O99,1),"")</f>
        <v>V</v>
      </c>
      <c r="O99" s="3">
        <v>131</v>
      </c>
      <c r="P99" s="3" t="str">
        <f>IFERROR(MID(VLOOKUP($B99,Seqs!$A:$B,2,0),Q99,1),"")</f>
        <v>P</v>
      </c>
      <c r="Q99" s="3">
        <v>134</v>
      </c>
      <c r="R99" s="3" t="str">
        <f>IFERROR(MID(VLOOKUP($B99,Seqs!$A:$B,2,0),S99,1),"")</f>
        <v>F</v>
      </c>
      <c r="S99" s="3">
        <v>137</v>
      </c>
      <c r="T99" s="3" t="str">
        <f>IFERROR(MID(VLOOKUP($B99,Seqs!$A:$B,2,0),U99,1),"")</f>
        <v>G</v>
      </c>
      <c r="U99" s="3">
        <v>138</v>
      </c>
      <c r="V99" s="3" t="str">
        <f>IFERROR(MID(VLOOKUP($B99,Seqs!$A:$B,2,0),W99,1),"")</f>
        <v>H</v>
      </c>
      <c r="W99" s="3">
        <v>173</v>
      </c>
      <c r="X99" s="3" t="str">
        <f>IFERROR(MID(VLOOKUP($B99,Seqs!$A:$B,2,0),Y99,1),"")</f>
        <v>P</v>
      </c>
      <c r="Y99" s="3">
        <v>174</v>
      </c>
      <c r="Z99" s="3" t="str">
        <f>IFERROR(MID(VLOOKUP($B99,Seqs!$A:$B,2,0),AA99,1),"")</f>
        <v>M</v>
      </c>
      <c r="AA99" s="3">
        <v>181</v>
      </c>
      <c r="AB99" s="3" t="str">
        <f>IFERROR(MID(VLOOKUP($B99,Seqs!$A:$B,2,0),AC99,1),"")</f>
        <v>R</v>
      </c>
      <c r="AC99" s="3">
        <v>183</v>
      </c>
      <c r="AD99" s="3" t="str">
        <f>IFERROR(MID(VLOOKUP($B99,Seqs!$A:$B,2,0),AE99,1),"")</f>
        <v>M</v>
      </c>
      <c r="AE99" s="3">
        <v>208</v>
      </c>
      <c r="AF99" s="3" t="str">
        <f>IFERROR(MID(VLOOKUP($B99,Seqs!$A:$B,2,0),AG99,1),"")</f>
        <v>C</v>
      </c>
      <c r="AG99" s="3">
        <v>225</v>
      </c>
      <c r="AH99" s="3" t="str">
        <f>IFERROR(MID(VLOOKUP($B99,Seqs!$A:$B,2,0),AI99,1),"")</f>
        <v>P</v>
      </c>
      <c r="AI99" s="3">
        <v>227</v>
      </c>
      <c r="AJ99" s="3" t="str">
        <f>IFERROR(MID(VLOOKUP($B99,Seqs!$A:$B,2,0),AK99,1),"")</f>
        <v>T</v>
      </c>
      <c r="AK99" s="3">
        <v>231</v>
      </c>
      <c r="AL99" s="3" t="str">
        <f>IFERROR(MID(VLOOKUP($B99,Seqs!$A:$B,2,0),AM99,1),"")</f>
        <v>V</v>
      </c>
      <c r="AM99" s="3">
        <v>268</v>
      </c>
      <c r="AN99" s="3" t="str">
        <f>IFERROR(MID(VLOOKUP($B99,Seqs!$A:$B,2,0),AO99,1),"")</f>
        <v>A</v>
      </c>
      <c r="AO99" s="3">
        <v>302</v>
      </c>
      <c r="AP99" s="3" t="str">
        <f>IFERROR(MID(VLOOKUP($B99,Seqs!$A:$B,2,0),AQ99,1),"")</f>
        <v>I</v>
      </c>
      <c r="AQ99" s="3">
        <v>334</v>
      </c>
      <c r="AR99" s="3" t="str">
        <f>IFERROR(MID(VLOOKUP($B99,Seqs!$A:$B,2,0),AS99,1),"")</f>
        <v>T</v>
      </c>
      <c r="AS99" s="3">
        <v>340</v>
      </c>
      <c r="AT99" s="3" t="str">
        <f>IFERROR(MID(VLOOKUP($B99,Seqs!$A:$B,2,0),AU99,1),"")</f>
        <v>I</v>
      </c>
      <c r="AU99" s="3">
        <v>364</v>
      </c>
      <c r="AV99" s="3" t="str">
        <f>IFERROR(MID(VLOOKUP($B99,Seqs!$A:$B,2,0),AW99,1),"")</f>
        <v/>
      </c>
      <c r="AW99" s="3" t="s">
        <v>129</v>
      </c>
      <c r="AX99" s="3" t="str">
        <f>IFERROR(MID(VLOOKUP($B99,Seqs!$A:$B,2,0),AY99,1),"")</f>
        <v/>
      </c>
      <c r="AY99" s="3" t="s">
        <v>129</v>
      </c>
      <c r="BA99" s="124" t="str">
        <f>VLOOKUP(B99,Classification!A:D,2,0)</f>
        <v>A</v>
      </c>
      <c r="BB99" s="90" t="s">
        <v>1596</v>
      </c>
      <c r="BC99" s="1"/>
      <c r="BD99" s="5"/>
      <c r="BE99" s="57">
        <f t="shared" si="85"/>
        <v>242</v>
      </c>
      <c r="BF99" s="63" t="b">
        <f t="shared" si="86"/>
        <v>1</v>
      </c>
      <c r="BG99" s="116" t="s">
        <v>1513</v>
      </c>
      <c r="BH99" s="102" t="s">
        <v>1513</v>
      </c>
      <c r="BI99" s="102" t="s">
        <v>1513</v>
      </c>
      <c r="BJ99" s="102" t="s">
        <v>1513</v>
      </c>
      <c r="BK99" s="102" t="s">
        <v>1513</v>
      </c>
      <c r="BL99" s="102" t="s">
        <v>1513</v>
      </c>
      <c r="BM99" s="102" t="s">
        <v>1513</v>
      </c>
      <c r="BN99" s="102" t="s">
        <v>1513</v>
      </c>
      <c r="BO99" s="102" t="s">
        <v>1513</v>
      </c>
      <c r="BP99" s="102" t="s">
        <v>1513</v>
      </c>
      <c r="BQ99" s="102" t="s">
        <v>1513</v>
      </c>
      <c r="BR99" s="102" t="s">
        <v>1513</v>
      </c>
      <c r="BS99" s="116">
        <f t="shared" si="87"/>
        <v>61</v>
      </c>
      <c r="BT99" s="117" t="str">
        <f t="shared" si="88"/>
        <v>-</v>
      </c>
      <c r="BU99" s="118">
        <f t="shared" si="89"/>
        <v>97</v>
      </c>
      <c r="BV99" s="117">
        <f t="shared" si="90"/>
        <v>134</v>
      </c>
      <c r="BW99" s="118">
        <f t="shared" si="91"/>
        <v>138</v>
      </c>
      <c r="BX99" s="117">
        <f t="shared" si="92"/>
        <v>174</v>
      </c>
      <c r="BY99" s="118">
        <f t="shared" si="93"/>
        <v>183</v>
      </c>
      <c r="BZ99" s="117">
        <f t="shared" si="94"/>
        <v>225</v>
      </c>
      <c r="CA99" s="118">
        <f t="shared" si="95"/>
        <v>231</v>
      </c>
      <c r="CB99" s="117">
        <f t="shared" si="96"/>
        <v>302</v>
      </c>
      <c r="CC99" s="118">
        <f t="shared" si="97"/>
        <v>340</v>
      </c>
      <c r="CD99" s="117" t="str">
        <f t="shared" si="98"/>
        <v>-</v>
      </c>
      <c r="CE99" s="116">
        <f t="shared" si="99"/>
        <v>92</v>
      </c>
      <c r="CF99" s="117" t="str">
        <f t="shared" si="100"/>
        <v>-</v>
      </c>
      <c r="CG99" s="118">
        <f t="shared" si="101"/>
        <v>131</v>
      </c>
      <c r="CH99" s="118">
        <f t="shared" si="102"/>
        <v>137</v>
      </c>
      <c r="CI99" s="118">
        <f t="shared" si="103"/>
        <v>173</v>
      </c>
      <c r="CJ99" s="118">
        <f t="shared" si="104"/>
        <v>181</v>
      </c>
      <c r="CK99" s="118">
        <f t="shared" si="105"/>
        <v>208</v>
      </c>
      <c r="CL99" s="118">
        <f t="shared" si="106"/>
        <v>227</v>
      </c>
      <c r="CM99" s="118">
        <f t="shared" si="107"/>
        <v>268</v>
      </c>
      <c r="CN99" s="118">
        <f t="shared" si="108"/>
        <v>334</v>
      </c>
      <c r="CO99" s="118">
        <f t="shared" si="109"/>
        <v>364</v>
      </c>
      <c r="CP99" s="118" t="str">
        <f t="shared" si="110"/>
        <v>-</v>
      </c>
      <c r="CQ99" s="57" t="e">
        <f t="shared" si="111"/>
        <v>#VALUE!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</row>
    <row r="100" spans="1:1026" x14ac:dyDescent="0.2">
      <c r="A100" s="3" t="str">
        <f t="shared" si="84"/>
        <v>ntr1_rat_4GRV</v>
      </c>
      <c r="B100" s="3" t="s">
        <v>1109</v>
      </c>
      <c r="C100" s="3" t="s">
        <v>238</v>
      </c>
      <c r="D100" s="3" t="str">
        <f>IFERROR(MID(VLOOKUP($B100,Seqs!$A:$B,2,0),E100,1),"")</f>
        <v>I</v>
      </c>
      <c r="E100" s="3">
        <v>61</v>
      </c>
      <c r="F100" s="3" t="str">
        <f>IFERROR(MID(VLOOKUP($B100,Seqs!$A:$B,2,0),G100,1),"")</f>
        <v>T</v>
      </c>
      <c r="G100" s="3">
        <v>88</v>
      </c>
      <c r="H100" s="3" t="str">
        <f>IFERROR(MID(VLOOKUP($B100,Seqs!$A:$B,2,0),I100,1),"")</f>
        <v/>
      </c>
      <c r="I100" s="57" t="s">
        <v>129</v>
      </c>
      <c r="J100" s="3" t="str">
        <f>IFERROR(MID(VLOOKUP($B100,Seqs!$A:$B,2,0),K100,1),"")</f>
        <v/>
      </c>
      <c r="K100" s="57" t="s">
        <v>129</v>
      </c>
      <c r="L100" s="3" t="str">
        <f>IFERROR(MID(VLOOKUP($B100,Seqs!$A:$B,2,0),M100,1),"")</f>
        <v>Q</v>
      </c>
      <c r="M100" s="3">
        <v>99</v>
      </c>
      <c r="N100" s="3" t="str">
        <f>IFERROR(MID(VLOOKUP($B100,Seqs!$A:$B,2,0),O100,1),"")</f>
        <v>V</v>
      </c>
      <c r="O100" s="3">
        <v>131</v>
      </c>
      <c r="P100" s="3" t="str">
        <f>IFERROR(MID(VLOOKUP($B100,Seqs!$A:$B,2,0),Q100,1),"")</f>
        <v>P</v>
      </c>
      <c r="Q100" s="3">
        <v>134</v>
      </c>
      <c r="R100" s="3" t="str">
        <f>IFERROR(MID(VLOOKUP($B100,Seqs!$A:$B,2,0),S100,1),"")</f>
        <v>F</v>
      </c>
      <c r="S100" s="3">
        <v>137</v>
      </c>
      <c r="T100" s="3" t="str">
        <f>IFERROR(MID(VLOOKUP($B100,Seqs!$A:$B,2,0),U100,1),"")</f>
        <v>G</v>
      </c>
      <c r="U100" s="3">
        <v>138</v>
      </c>
      <c r="V100" s="3" t="str">
        <f>IFERROR(MID(VLOOKUP($B100,Seqs!$A:$B,2,0),W100,1),"")</f>
        <v>H</v>
      </c>
      <c r="W100" s="3">
        <v>173</v>
      </c>
      <c r="X100" s="3" t="str">
        <f>IFERROR(MID(VLOOKUP($B100,Seqs!$A:$B,2,0),Y100,1),"")</f>
        <v>P</v>
      </c>
      <c r="Y100" s="3">
        <v>174</v>
      </c>
      <c r="Z100" s="3" t="str">
        <f>IFERROR(MID(VLOOKUP($B100,Seqs!$A:$B,2,0),AA100,1),"")</f>
        <v>S</v>
      </c>
      <c r="AA100" s="3">
        <v>182</v>
      </c>
      <c r="AB100" s="3" t="str">
        <f>IFERROR(MID(VLOOKUP($B100,Seqs!$A:$B,2,0),AC100,1),"")</f>
        <v>T</v>
      </c>
      <c r="AC100" s="3">
        <v>186</v>
      </c>
      <c r="AD100" s="3" t="str">
        <f>IFERROR(MID(VLOOKUP($B100,Seqs!$A:$B,2,0),AE100,1),"")</f>
        <v>M</v>
      </c>
      <c r="AE100" s="3">
        <v>208</v>
      </c>
      <c r="AF100" s="3" t="str">
        <f>IFERROR(MID(VLOOKUP($B100,Seqs!$A:$B,2,0),AG100,1),"")</f>
        <v>C</v>
      </c>
      <c r="AG100" s="3">
        <v>225</v>
      </c>
      <c r="AH100" s="3" t="str">
        <f>IFERROR(MID(VLOOKUP($B100,Seqs!$A:$B,2,0),AI100,1),"")</f>
        <v>P</v>
      </c>
      <c r="AI100" s="3">
        <v>227</v>
      </c>
      <c r="AJ100" s="3" t="str">
        <f>IFERROR(MID(VLOOKUP($B100,Seqs!$A:$B,2,0),AK100,1),"")</f>
        <v>T</v>
      </c>
      <c r="AK100" s="3">
        <v>231</v>
      </c>
      <c r="AL100" s="3" t="str">
        <f>IFERROR(MID(VLOOKUP($B100,Seqs!$A:$B,2,0),AM100,1),"")</f>
        <v>T</v>
      </c>
      <c r="AM100" s="3">
        <v>265</v>
      </c>
      <c r="AN100" s="3" t="str">
        <f>IFERROR(MID(VLOOKUP($B100,Seqs!$A:$B,2,0),AO100,1),"")</f>
        <v>A</v>
      </c>
      <c r="AO100" s="3">
        <v>302</v>
      </c>
      <c r="AP100" s="3" t="str">
        <f>IFERROR(MID(VLOOKUP($B100,Seqs!$A:$B,2,0),AQ100,1),"")</f>
        <v>I</v>
      </c>
      <c r="AQ100" s="3">
        <v>334</v>
      </c>
      <c r="AR100" s="3" t="str">
        <f>IFERROR(MID(VLOOKUP($B100,Seqs!$A:$B,2,0),AS100,1),"")</f>
        <v>T</v>
      </c>
      <c r="AS100" s="3">
        <v>340</v>
      </c>
      <c r="AT100" s="3" t="str">
        <f>IFERROR(MID(VLOOKUP($B100,Seqs!$A:$B,2,0),AU100,1),"")</f>
        <v>S</v>
      </c>
      <c r="AU100" s="3">
        <v>361</v>
      </c>
      <c r="AV100" s="3" t="str">
        <f>IFERROR(MID(VLOOKUP($B100,Seqs!$A:$B,2,0),AW100,1),"")</f>
        <v/>
      </c>
      <c r="AW100" s="3" t="s">
        <v>129</v>
      </c>
      <c r="AX100" s="3" t="str">
        <f>IFERROR(MID(VLOOKUP($B100,Seqs!$A:$B,2,0),AY100,1),"")</f>
        <v/>
      </c>
      <c r="AY100" s="3" t="s">
        <v>129</v>
      </c>
      <c r="BA100" s="124" t="str">
        <f>VLOOKUP(B100,Classification!A:D,2,0)</f>
        <v>A</v>
      </c>
      <c r="BC100" s="1"/>
      <c r="BD100" s="5"/>
      <c r="BE100" s="57">
        <f t="shared" si="85"/>
        <v>228</v>
      </c>
      <c r="BF100" s="63" t="b">
        <f t="shared" si="86"/>
        <v>1</v>
      </c>
      <c r="BG100" s="116" t="s">
        <v>1513</v>
      </c>
      <c r="BH100" s="102" t="s">
        <v>1513</v>
      </c>
      <c r="BI100" s="102" t="s">
        <v>1513</v>
      </c>
      <c r="BJ100" s="102" t="s">
        <v>1513</v>
      </c>
      <c r="BK100" s="102" t="s">
        <v>1513</v>
      </c>
      <c r="BL100" s="102" t="s">
        <v>1513</v>
      </c>
      <c r="BM100" s="102" t="s">
        <v>1513</v>
      </c>
      <c r="BN100" s="102" t="s">
        <v>1513</v>
      </c>
      <c r="BO100" s="102" t="s">
        <v>1513</v>
      </c>
      <c r="BP100" s="102" t="s">
        <v>1513</v>
      </c>
      <c r="BQ100" s="102" t="s">
        <v>1513</v>
      </c>
      <c r="BR100" s="102" t="s">
        <v>1513</v>
      </c>
      <c r="BS100" s="116">
        <f t="shared" si="87"/>
        <v>61</v>
      </c>
      <c r="BT100" s="117" t="str">
        <f t="shared" si="88"/>
        <v>-</v>
      </c>
      <c r="BU100" s="118">
        <f t="shared" si="89"/>
        <v>99</v>
      </c>
      <c r="BV100" s="117">
        <f t="shared" si="90"/>
        <v>134</v>
      </c>
      <c r="BW100" s="118">
        <f t="shared" si="91"/>
        <v>138</v>
      </c>
      <c r="BX100" s="117">
        <f t="shared" si="92"/>
        <v>174</v>
      </c>
      <c r="BY100" s="118">
        <f t="shared" si="93"/>
        <v>186</v>
      </c>
      <c r="BZ100" s="117">
        <f t="shared" si="94"/>
        <v>225</v>
      </c>
      <c r="CA100" s="118">
        <f t="shared" si="95"/>
        <v>231</v>
      </c>
      <c r="CB100" s="117">
        <f t="shared" si="96"/>
        <v>302</v>
      </c>
      <c r="CC100" s="118">
        <f t="shared" si="97"/>
        <v>340</v>
      </c>
      <c r="CD100" s="117" t="str">
        <f t="shared" si="98"/>
        <v>-</v>
      </c>
      <c r="CE100" s="116">
        <f t="shared" si="99"/>
        <v>88</v>
      </c>
      <c r="CF100" s="117" t="str">
        <f t="shared" si="100"/>
        <v>-</v>
      </c>
      <c r="CG100" s="118">
        <f t="shared" si="101"/>
        <v>131</v>
      </c>
      <c r="CH100" s="118">
        <f t="shared" si="102"/>
        <v>137</v>
      </c>
      <c r="CI100" s="118">
        <f t="shared" si="103"/>
        <v>173</v>
      </c>
      <c r="CJ100" s="118">
        <f t="shared" si="104"/>
        <v>182</v>
      </c>
      <c r="CK100" s="118">
        <f t="shared" si="105"/>
        <v>208</v>
      </c>
      <c r="CL100" s="118">
        <f t="shared" si="106"/>
        <v>227</v>
      </c>
      <c r="CM100" s="118">
        <f t="shared" si="107"/>
        <v>265</v>
      </c>
      <c r="CN100" s="118">
        <f t="shared" si="108"/>
        <v>334</v>
      </c>
      <c r="CO100" s="118">
        <f t="shared" si="109"/>
        <v>361</v>
      </c>
      <c r="CP100" s="118" t="str">
        <f t="shared" si="110"/>
        <v>-</v>
      </c>
      <c r="CQ100" s="57" t="e">
        <f t="shared" si="111"/>
        <v>#VALUE!</v>
      </c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23"/>
      <c r="LQ100" s="23"/>
      <c r="LR100" s="23"/>
      <c r="LS100" s="23"/>
      <c r="LT100" s="23"/>
      <c r="LU100" s="23"/>
      <c r="LV100" s="23"/>
      <c r="LW100" s="23"/>
      <c r="LX100" s="2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  <c r="QA100" s="23"/>
      <c r="QB100" s="23"/>
      <c r="QC100" s="23"/>
      <c r="QD100" s="23"/>
      <c r="QE100" s="23"/>
      <c r="QF100" s="23"/>
      <c r="QG100" s="23"/>
      <c r="QH100" s="23"/>
      <c r="QI100" s="23"/>
      <c r="QJ100" s="23"/>
      <c r="QK100" s="23"/>
      <c r="QL100" s="23"/>
      <c r="QM100" s="23"/>
      <c r="QN100" s="23"/>
      <c r="QO100" s="23"/>
      <c r="QP100" s="23"/>
      <c r="QQ100" s="23"/>
      <c r="QR100" s="23"/>
      <c r="QS100" s="23"/>
      <c r="QT100" s="23"/>
      <c r="QU100" s="23"/>
      <c r="QV100" s="23"/>
      <c r="QW100" s="23"/>
      <c r="QX100" s="23"/>
      <c r="QY100" s="23"/>
      <c r="QZ100" s="23"/>
      <c r="RA100" s="23"/>
      <c r="RB100" s="23"/>
      <c r="RC100" s="23"/>
      <c r="RD100" s="23"/>
      <c r="RE100" s="23"/>
      <c r="RF100" s="23"/>
      <c r="RG100" s="23"/>
      <c r="RH100" s="23"/>
      <c r="RI100" s="23"/>
      <c r="RJ100" s="23"/>
      <c r="RK100" s="23"/>
      <c r="RL100" s="23"/>
      <c r="RM100" s="23"/>
      <c r="RN100" s="23"/>
      <c r="RO100" s="23"/>
      <c r="RP100" s="23"/>
      <c r="RQ100" s="23"/>
      <c r="RR100" s="23"/>
      <c r="RS100" s="23"/>
      <c r="RT100" s="23"/>
      <c r="RU100" s="23"/>
      <c r="RV100" s="23"/>
      <c r="RW100" s="23"/>
      <c r="RX100" s="23"/>
      <c r="RY100" s="23"/>
      <c r="RZ100" s="23"/>
      <c r="SA100" s="23"/>
      <c r="SB100" s="23"/>
      <c r="SC100" s="23"/>
      <c r="SD100" s="23"/>
      <c r="SE100" s="23"/>
      <c r="SF100" s="23"/>
      <c r="SG100" s="23"/>
      <c r="SH100" s="23"/>
      <c r="SI100" s="23"/>
      <c r="SJ100" s="23"/>
      <c r="SK100" s="23"/>
      <c r="SL100" s="23"/>
      <c r="SM100" s="23"/>
      <c r="SN100" s="23"/>
      <c r="SO100" s="23"/>
      <c r="SP100" s="23"/>
      <c r="SQ100" s="23"/>
      <c r="SR100" s="23"/>
      <c r="SS100" s="23"/>
      <c r="ST100" s="23"/>
      <c r="SU100" s="23"/>
      <c r="SV100" s="23"/>
      <c r="SW100" s="23"/>
      <c r="SX100" s="23"/>
      <c r="SY100" s="23"/>
      <c r="SZ100" s="23"/>
      <c r="TA100" s="23"/>
      <c r="TB100" s="23"/>
      <c r="TC100" s="23"/>
      <c r="TD100" s="23"/>
      <c r="TE100" s="23"/>
      <c r="TF100" s="23"/>
      <c r="TG100" s="23"/>
      <c r="TH100" s="23"/>
      <c r="TI100" s="23"/>
      <c r="TJ100" s="23"/>
      <c r="TK100" s="23"/>
      <c r="TL100" s="23"/>
      <c r="TM100" s="23"/>
      <c r="TN100" s="23"/>
      <c r="TO100" s="23"/>
      <c r="TP100" s="23"/>
      <c r="TQ100" s="23"/>
      <c r="TR100" s="23"/>
      <c r="TS100" s="23"/>
      <c r="TT100" s="23"/>
      <c r="TU100" s="23"/>
      <c r="TV100" s="23"/>
      <c r="TW100" s="23"/>
      <c r="TX100" s="23"/>
      <c r="TY100" s="23"/>
      <c r="TZ100" s="23"/>
      <c r="UA100" s="23"/>
      <c r="UB100" s="23"/>
      <c r="UC100" s="23"/>
      <c r="UD100" s="23"/>
      <c r="UE100" s="23"/>
      <c r="UF100" s="23"/>
      <c r="UG100" s="23"/>
      <c r="UH100" s="23"/>
      <c r="UI100" s="23"/>
      <c r="UJ100" s="23"/>
      <c r="UK100" s="23"/>
      <c r="UL100" s="23"/>
      <c r="UM100" s="23"/>
      <c r="UN100" s="23"/>
      <c r="UO100" s="23"/>
      <c r="UP100" s="23"/>
      <c r="UQ100" s="23"/>
      <c r="UR100" s="23"/>
      <c r="US100" s="23"/>
      <c r="UT100" s="23"/>
      <c r="UU100" s="23"/>
      <c r="UV100" s="23"/>
      <c r="UW100" s="23"/>
      <c r="UX100" s="23"/>
      <c r="UY100" s="23"/>
      <c r="UZ100" s="23"/>
      <c r="VA100" s="23"/>
      <c r="VB100" s="23"/>
      <c r="VC100" s="23"/>
      <c r="VD100" s="23"/>
      <c r="VE100" s="23"/>
      <c r="VF100" s="23"/>
      <c r="VG100" s="23"/>
      <c r="VH100" s="23"/>
      <c r="VI100" s="23"/>
      <c r="VJ100" s="23"/>
      <c r="VK100" s="23"/>
      <c r="VL100" s="23"/>
      <c r="VM100" s="23"/>
      <c r="VN100" s="23"/>
      <c r="VO100" s="23"/>
      <c r="VP100" s="23"/>
      <c r="VQ100" s="23"/>
      <c r="VR100" s="23"/>
      <c r="VS100" s="23"/>
      <c r="VT100" s="23"/>
      <c r="VU100" s="23"/>
      <c r="VV100" s="23"/>
      <c r="VW100" s="23"/>
      <c r="VX100" s="23"/>
      <c r="VY100" s="23"/>
      <c r="VZ100" s="23"/>
      <c r="WA100" s="23"/>
      <c r="WB100" s="23"/>
      <c r="WC100" s="23"/>
      <c r="WD100" s="23"/>
      <c r="WE100" s="23"/>
      <c r="WF100" s="23"/>
      <c r="WG100" s="23"/>
      <c r="WH100" s="23"/>
      <c r="WI100" s="23"/>
      <c r="WJ100" s="23"/>
      <c r="WK100" s="23"/>
      <c r="WL100" s="23"/>
      <c r="WM100" s="23"/>
      <c r="WN100" s="23"/>
      <c r="WO100" s="23"/>
      <c r="WP100" s="23"/>
      <c r="WQ100" s="23"/>
      <c r="WR100" s="23"/>
      <c r="WS100" s="23"/>
      <c r="WT100" s="23"/>
      <c r="WU100" s="23"/>
      <c r="WV100" s="23"/>
      <c r="WW100" s="23"/>
      <c r="WX100" s="23"/>
      <c r="WY100" s="23"/>
      <c r="WZ100" s="23"/>
      <c r="XA100" s="23"/>
      <c r="XB100" s="23"/>
      <c r="XC100" s="23"/>
      <c r="XD100" s="23"/>
      <c r="XE100" s="23"/>
      <c r="XF100" s="23"/>
      <c r="XG100" s="23"/>
      <c r="XH100" s="23"/>
      <c r="XI100" s="23"/>
      <c r="XJ100" s="23"/>
      <c r="XK100" s="23"/>
      <c r="XL100" s="23"/>
      <c r="XM100" s="23"/>
      <c r="XN100" s="23"/>
      <c r="XO100" s="23"/>
      <c r="XP100" s="23"/>
      <c r="XQ100" s="23"/>
      <c r="XR100" s="23"/>
      <c r="XS100" s="23"/>
      <c r="XT100" s="23"/>
      <c r="XU100" s="23"/>
      <c r="XV100" s="23"/>
      <c r="XW100" s="23"/>
      <c r="XX100" s="23"/>
      <c r="XY100" s="23"/>
      <c r="XZ100" s="23"/>
      <c r="YA100" s="23"/>
      <c r="YB100" s="23"/>
      <c r="YC100" s="23"/>
      <c r="YD100" s="23"/>
      <c r="YE100" s="23"/>
      <c r="YF100" s="23"/>
      <c r="YG100" s="23"/>
      <c r="YH100" s="23"/>
      <c r="YI100" s="23"/>
      <c r="YJ100" s="23"/>
      <c r="YK100" s="23"/>
      <c r="YL100" s="23"/>
      <c r="YM100" s="23"/>
      <c r="YN100" s="23"/>
      <c r="YO100" s="23"/>
      <c r="YP100" s="23"/>
      <c r="YQ100" s="23"/>
      <c r="YR100" s="23"/>
      <c r="YS100" s="23"/>
      <c r="YT100" s="23"/>
      <c r="YU100" s="23"/>
      <c r="YV100" s="23"/>
      <c r="YW100" s="23"/>
      <c r="YX100" s="23"/>
      <c r="YY100" s="23"/>
      <c r="YZ100" s="23"/>
      <c r="ZA100" s="23"/>
      <c r="ZB100" s="23"/>
      <c r="ZC100" s="23"/>
      <c r="ZD100" s="23"/>
      <c r="ZE100" s="23"/>
      <c r="ZF100" s="23"/>
      <c r="ZG100" s="23"/>
      <c r="ZH100" s="23"/>
      <c r="ZI100" s="23"/>
      <c r="ZJ100" s="23"/>
      <c r="ZK100" s="23"/>
      <c r="ZL100" s="23"/>
      <c r="ZM100" s="23"/>
      <c r="ZN100" s="23"/>
      <c r="ZO100" s="23"/>
      <c r="ZP100" s="23"/>
      <c r="ZQ100" s="23"/>
      <c r="ZR100" s="23"/>
      <c r="ZS100" s="23"/>
      <c r="ZT100" s="23"/>
      <c r="ZU100" s="23"/>
      <c r="ZV100" s="23"/>
      <c r="ZW100" s="23"/>
      <c r="ZX100" s="23"/>
      <c r="ZY100" s="23"/>
      <c r="ZZ100" s="23"/>
      <c r="AAA100" s="23"/>
      <c r="AAB100" s="23"/>
      <c r="AAC100" s="23"/>
      <c r="AAD100" s="23"/>
      <c r="AAE100" s="23"/>
      <c r="AAF100" s="23"/>
      <c r="AAG100" s="23"/>
      <c r="AAH100" s="23"/>
      <c r="AAI100" s="23"/>
      <c r="AAJ100" s="23"/>
      <c r="AAK100" s="23"/>
      <c r="AAL100" s="23"/>
      <c r="AAM100" s="23"/>
      <c r="AAN100" s="23"/>
      <c r="AAO100" s="23"/>
      <c r="AAP100" s="23"/>
      <c r="AAQ100" s="23"/>
      <c r="AAR100" s="23"/>
      <c r="AAS100" s="23"/>
      <c r="AAT100" s="23"/>
      <c r="AAU100" s="23"/>
      <c r="AAV100" s="23"/>
      <c r="AAW100" s="23"/>
      <c r="AAX100" s="23"/>
      <c r="AAY100" s="23"/>
      <c r="AAZ100" s="23"/>
      <c r="ABA100" s="23"/>
      <c r="ABB100" s="23"/>
      <c r="ABC100" s="23"/>
      <c r="ABD100" s="23"/>
      <c r="ABE100" s="23"/>
      <c r="ABF100" s="23"/>
      <c r="ABG100" s="23"/>
      <c r="ABH100" s="23"/>
      <c r="ABI100" s="23"/>
      <c r="ABJ100" s="23"/>
      <c r="ABK100" s="23"/>
      <c r="ABL100" s="23"/>
      <c r="ABM100" s="23"/>
      <c r="ABN100" s="23"/>
      <c r="ABO100" s="23"/>
      <c r="ABP100" s="23"/>
      <c r="ABQ100" s="23"/>
      <c r="ABR100" s="23"/>
      <c r="ABS100" s="23"/>
      <c r="ABT100" s="23"/>
      <c r="ABU100" s="23"/>
      <c r="ABV100" s="23"/>
      <c r="ABW100" s="23"/>
      <c r="ABX100" s="23"/>
      <c r="ABY100" s="23"/>
      <c r="ABZ100" s="23"/>
      <c r="ACA100" s="23"/>
      <c r="ACB100" s="23"/>
      <c r="ACC100" s="23"/>
      <c r="ACD100" s="23"/>
      <c r="ACE100" s="23"/>
      <c r="ACF100" s="23"/>
      <c r="ACG100" s="23"/>
      <c r="ACH100" s="23"/>
      <c r="ACI100" s="23"/>
      <c r="ACJ100" s="23"/>
      <c r="ACK100" s="23"/>
      <c r="ACL100" s="23"/>
      <c r="ACM100" s="23"/>
      <c r="ACN100" s="23"/>
      <c r="ACO100" s="23"/>
      <c r="ACP100" s="23"/>
      <c r="ACQ100" s="23"/>
      <c r="ACR100" s="23"/>
      <c r="ACS100" s="23"/>
      <c r="ACT100" s="23"/>
      <c r="ACU100" s="23"/>
      <c r="ACV100" s="23"/>
      <c r="ACW100" s="23"/>
      <c r="ACX100" s="23"/>
      <c r="ACY100" s="23"/>
      <c r="ACZ100" s="23"/>
      <c r="ADA100" s="23"/>
      <c r="ADB100" s="23"/>
      <c r="ADC100" s="23"/>
      <c r="ADD100" s="23"/>
      <c r="ADE100" s="23"/>
      <c r="ADF100" s="23"/>
      <c r="ADG100" s="23"/>
      <c r="ADH100" s="23"/>
      <c r="ADI100" s="23"/>
      <c r="ADJ100" s="23"/>
      <c r="ADK100" s="23"/>
      <c r="ADL100" s="23"/>
      <c r="ADM100" s="23"/>
      <c r="ADN100" s="23"/>
      <c r="ADO100" s="23"/>
      <c r="ADP100" s="23"/>
      <c r="ADQ100" s="23"/>
      <c r="ADR100" s="23"/>
      <c r="ADS100" s="23"/>
      <c r="ADT100" s="23"/>
      <c r="ADU100" s="23"/>
      <c r="ADV100" s="23"/>
      <c r="ADW100" s="23"/>
      <c r="ADX100" s="23"/>
      <c r="ADY100" s="23"/>
      <c r="ADZ100" s="23"/>
      <c r="AEA100" s="23"/>
      <c r="AEB100" s="23"/>
      <c r="AEC100" s="23"/>
      <c r="AED100" s="23"/>
      <c r="AEE100" s="23"/>
      <c r="AEF100" s="23"/>
      <c r="AEG100" s="23"/>
      <c r="AEH100" s="23"/>
      <c r="AEI100" s="23"/>
      <c r="AEJ100" s="23"/>
      <c r="AEK100" s="23"/>
      <c r="AEL100" s="23"/>
      <c r="AEM100" s="23"/>
      <c r="AEN100" s="23"/>
      <c r="AEO100" s="23"/>
      <c r="AEP100" s="23"/>
      <c r="AEQ100" s="23"/>
      <c r="AER100" s="23"/>
      <c r="AES100" s="23"/>
      <c r="AET100" s="23"/>
      <c r="AEU100" s="23"/>
      <c r="AEV100" s="23"/>
      <c r="AEW100" s="23"/>
      <c r="AEX100" s="23"/>
      <c r="AEY100" s="23"/>
      <c r="AEZ100" s="23"/>
      <c r="AFA100" s="23"/>
      <c r="AFB100" s="23"/>
      <c r="AFC100" s="23"/>
      <c r="AFD100" s="23"/>
      <c r="AFE100" s="23"/>
      <c r="AFF100" s="23"/>
      <c r="AFG100" s="23"/>
      <c r="AFH100" s="23"/>
      <c r="AFI100" s="23"/>
      <c r="AFJ100" s="23"/>
      <c r="AFK100" s="23"/>
      <c r="AFL100" s="23"/>
      <c r="AFM100" s="23"/>
      <c r="AFN100" s="23"/>
      <c r="AFO100" s="23"/>
      <c r="AFP100" s="23"/>
      <c r="AFQ100" s="23"/>
      <c r="AFR100" s="23"/>
      <c r="AFS100" s="23"/>
      <c r="AFT100" s="23"/>
      <c r="AFU100" s="23"/>
      <c r="AFV100" s="23"/>
      <c r="AFW100" s="23"/>
      <c r="AFX100" s="23"/>
      <c r="AFY100" s="23"/>
      <c r="AFZ100" s="23"/>
      <c r="AGA100" s="23"/>
      <c r="AGB100" s="23"/>
      <c r="AGC100" s="23"/>
      <c r="AGD100" s="23"/>
      <c r="AGE100" s="23"/>
      <c r="AGF100" s="23"/>
      <c r="AGG100" s="23"/>
      <c r="AGH100" s="23"/>
      <c r="AGI100" s="23"/>
      <c r="AGJ100" s="23"/>
      <c r="AGK100" s="23"/>
      <c r="AGL100" s="23"/>
      <c r="AGM100" s="23"/>
      <c r="AGN100" s="23"/>
      <c r="AGO100" s="23"/>
      <c r="AGP100" s="23"/>
      <c r="AGQ100" s="23"/>
      <c r="AGR100" s="23"/>
      <c r="AGS100" s="23"/>
      <c r="AGT100" s="23"/>
      <c r="AGU100" s="23"/>
      <c r="AGV100" s="23"/>
      <c r="AGW100" s="23"/>
      <c r="AGX100" s="23"/>
      <c r="AGY100" s="23"/>
      <c r="AGZ100" s="23"/>
      <c r="AHA100" s="23"/>
      <c r="AHB100" s="23"/>
      <c r="AHC100" s="23"/>
      <c r="AHD100" s="23"/>
      <c r="AHE100" s="23"/>
      <c r="AHF100" s="23"/>
      <c r="AHG100" s="23"/>
      <c r="AHH100" s="23"/>
      <c r="AHI100" s="23"/>
      <c r="AHJ100" s="23"/>
      <c r="AHK100" s="23"/>
      <c r="AHL100" s="23"/>
      <c r="AHM100" s="23"/>
      <c r="AHN100" s="23"/>
      <c r="AHO100" s="23"/>
      <c r="AHP100" s="23"/>
      <c r="AHQ100" s="23"/>
      <c r="AHR100" s="23"/>
      <c r="AHS100" s="23"/>
      <c r="AHT100" s="23"/>
      <c r="AHU100" s="23"/>
      <c r="AHV100" s="23"/>
      <c r="AHW100" s="23"/>
      <c r="AHX100" s="23"/>
      <c r="AHY100" s="23"/>
      <c r="AHZ100" s="23"/>
      <c r="AIA100" s="23"/>
      <c r="AIB100" s="23"/>
      <c r="AIC100" s="23"/>
      <c r="AID100" s="23"/>
      <c r="AIE100" s="23"/>
      <c r="AIF100" s="23"/>
      <c r="AIG100" s="23"/>
      <c r="AIH100" s="23"/>
      <c r="AII100" s="23"/>
      <c r="AIJ100" s="23"/>
      <c r="AIK100" s="23"/>
      <c r="AIL100" s="23"/>
      <c r="AIM100" s="23"/>
      <c r="AIN100" s="23"/>
      <c r="AIO100" s="23"/>
      <c r="AIP100" s="23"/>
      <c r="AIQ100" s="23"/>
      <c r="AIR100" s="23"/>
      <c r="AIS100" s="23"/>
      <c r="AIT100" s="23"/>
      <c r="AIU100" s="23"/>
      <c r="AIV100" s="23"/>
      <c r="AIW100" s="23"/>
      <c r="AIX100" s="23"/>
      <c r="AIY100" s="23"/>
      <c r="AIZ100" s="23"/>
      <c r="AJA100" s="23"/>
      <c r="AJB100" s="23"/>
      <c r="AJC100" s="23"/>
      <c r="AJD100" s="23"/>
      <c r="AJE100" s="23"/>
      <c r="AJF100" s="23"/>
      <c r="AJG100" s="23"/>
      <c r="AJH100" s="23"/>
      <c r="AJI100" s="23"/>
      <c r="AJJ100" s="23"/>
      <c r="AJK100" s="23"/>
      <c r="AJL100" s="23"/>
      <c r="AJM100" s="23"/>
      <c r="AJN100" s="23"/>
      <c r="AJO100" s="23"/>
      <c r="AJP100" s="23"/>
      <c r="AJQ100" s="23"/>
      <c r="AJR100" s="23"/>
      <c r="AJS100" s="23"/>
      <c r="AJT100" s="23"/>
      <c r="AJU100" s="23"/>
      <c r="AJV100" s="23"/>
      <c r="AJW100" s="23"/>
      <c r="AJX100" s="23"/>
      <c r="AJY100" s="23"/>
      <c r="AJZ100" s="23"/>
      <c r="AKA100" s="23"/>
      <c r="AKB100" s="23"/>
      <c r="AKC100" s="23"/>
      <c r="AKD100" s="23"/>
      <c r="AKE100" s="23"/>
      <c r="AKF100" s="23"/>
      <c r="AKG100" s="23"/>
      <c r="AKH100" s="23"/>
      <c r="AKI100" s="23"/>
      <c r="AKJ100" s="23"/>
      <c r="AKK100" s="23"/>
      <c r="AKL100" s="23"/>
      <c r="AKM100" s="23"/>
      <c r="AKN100" s="23"/>
      <c r="AKO100" s="23"/>
      <c r="AKP100" s="23"/>
      <c r="AKQ100" s="23"/>
      <c r="AKR100" s="23"/>
      <c r="AKS100" s="23"/>
      <c r="AKT100" s="23"/>
      <c r="AKU100" s="23"/>
      <c r="AKV100" s="23"/>
      <c r="AKW100" s="23"/>
      <c r="AKX100" s="23"/>
      <c r="AKY100" s="23"/>
      <c r="AKZ100" s="23"/>
      <c r="ALA100" s="23"/>
      <c r="ALB100" s="23"/>
      <c r="ALC100" s="23"/>
      <c r="ALD100" s="23"/>
      <c r="ALE100" s="23"/>
      <c r="ALF100" s="23"/>
      <c r="ALG100" s="23"/>
      <c r="ALH100" s="23"/>
      <c r="ALI100" s="23"/>
      <c r="ALJ100" s="23"/>
      <c r="ALK100" s="23"/>
      <c r="ALL100" s="23"/>
      <c r="ALM100" s="23"/>
      <c r="ALN100" s="23"/>
      <c r="ALO100" s="23"/>
      <c r="ALP100" s="23"/>
      <c r="ALQ100" s="23"/>
      <c r="ALR100" s="23"/>
      <c r="ALS100" s="23"/>
      <c r="ALT100" s="23"/>
      <c r="ALU100" s="23"/>
      <c r="ALV100" s="23"/>
      <c r="ALW100" s="23"/>
      <c r="ALX100" s="23"/>
      <c r="ALY100" s="23"/>
      <c r="ALZ100" s="23"/>
      <c r="AMA100" s="23"/>
      <c r="AMB100" s="23"/>
      <c r="AMC100" s="23"/>
      <c r="AMD100" s="23"/>
      <c r="AME100" s="23"/>
      <c r="AMF100" s="23"/>
      <c r="AMG100" s="23"/>
      <c r="AMH100" s="23"/>
      <c r="AMI100" s="23"/>
      <c r="AMJ100" s="23"/>
      <c r="AMK100" s="23"/>
      <c r="AML100" s="23"/>
    </row>
    <row r="101" spans="1:1026" x14ac:dyDescent="0.2">
      <c r="A101" s="3" t="str">
        <f t="shared" si="84"/>
        <v>oprd_human__wt</v>
      </c>
      <c r="B101" s="3" t="s">
        <v>528</v>
      </c>
      <c r="C101" s="3" t="s">
        <v>293</v>
      </c>
      <c r="D101" s="3" t="str">
        <f>IFERROR(MID(VLOOKUP($B101,Seqs!$A:$B,2,0),E101,1),"")</f>
        <v>G</v>
      </c>
      <c r="E101" s="3">
        <v>39</v>
      </c>
      <c r="F101" s="3" t="str">
        <f>IFERROR(MID(VLOOKUP($B101,Seqs!$A:$B,2,0),G101,1),"")</f>
        <v>Y</v>
      </c>
      <c r="G101" s="3">
        <v>77</v>
      </c>
      <c r="H101" s="3" t="str">
        <f>IFERROR(MID(VLOOKUP($B101,Seqs!$A:$B,2,0),I101,1),"")</f>
        <v>T</v>
      </c>
      <c r="I101" s="57">
        <v>78</v>
      </c>
      <c r="J101" s="3" t="str">
        <f>IFERROR(MID(VLOOKUP($B101,Seqs!$A:$B,2,0),K101,1),"")</f>
        <v>K</v>
      </c>
      <c r="K101" s="57">
        <v>81</v>
      </c>
      <c r="L101" s="3" t="str">
        <f>IFERROR(MID(VLOOKUP($B101,Seqs!$A:$B,2,0),M101,1),"")</f>
        <v>T</v>
      </c>
      <c r="M101" s="3">
        <v>82</v>
      </c>
      <c r="N101" s="3" t="str">
        <f>IFERROR(MID(VLOOKUP($B101,Seqs!$A:$B,2,0),O101,1),"")</f>
        <v>M</v>
      </c>
      <c r="O101" s="3">
        <v>111</v>
      </c>
      <c r="P101" s="3" t="str">
        <f>IFERROR(MID(VLOOKUP($B101,Seqs!$A:$B,2,0),Q101,1),"")</f>
        <v>T</v>
      </c>
      <c r="Q101" s="3">
        <v>113</v>
      </c>
      <c r="R101" s="3" t="str">
        <f>IFERROR(MID(VLOOKUP($B101,Seqs!$A:$B,2,0),S101,1),"")</f>
        <v>F</v>
      </c>
      <c r="S101" s="3">
        <v>116</v>
      </c>
      <c r="T101" s="3" t="str">
        <f>IFERROR(MID(VLOOKUP($B101,Seqs!$A:$B,2,0),U101,1),"")</f>
        <v>G</v>
      </c>
      <c r="U101" s="3">
        <v>117</v>
      </c>
      <c r="V101" s="3" t="str">
        <f>IFERROR(MID(VLOOKUP($B101,Seqs!$A:$B,2,0),W101,1),"")</f>
        <v>H</v>
      </c>
      <c r="W101" s="3">
        <v>152</v>
      </c>
      <c r="X101" s="3" t="str">
        <f>IFERROR(MID(VLOOKUP($B101,Seqs!$A:$B,2,0),Y101,1),"")</f>
        <v>P</v>
      </c>
      <c r="Y101" s="3">
        <v>153</v>
      </c>
      <c r="Z101" s="3" t="str">
        <f>IFERROR(MID(VLOOKUP($B101,Seqs!$A:$B,2,0),AA101,1),"")</f>
        <v>R</v>
      </c>
      <c r="AA101" s="3">
        <v>160</v>
      </c>
      <c r="AB101" s="3" t="str">
        <f>IFERROR(MID(VLOOKUP($B101,Seqs!$A:$B,2,0),AC101,1),"")</f>
        <v>P</v>
      </c>
      <c r="AC101" s="3">
        <v>162</v>
      </c>
      <c r="AD101" s="3" t="str">
        <f>IFERROR(MID(VLOOKUP($B101,Seqs!$A:$B,2,0),AE101,1),"")</f>
        <v>A</v>
      </c>
      <c r="AE101" s="3">
        <v>187</v>
      </c>
      <c r="AF101" s="3" t="str">
        <f>IFERROR(MID(VLOOKUP($B101,Seqs!$A:$B,2,0),AG101,1),"")</f>
        <v>C</v>
      </c>
      <c r="AG101" s="3">
        <v>198</v>
      </c>
      <c r="AH101" s="3" t="str">
        <f>IFERROR(MID(VLOOKUP($B101,Seqs!$A:$B,2,0),AI101,1),"")</f>
        <v>L</v>
      </c>
      <c r="AI101" s="3">
        <v>200</v>
      </c>
      <c r="AJ101" s="3" t="str">
        <f>IFERROR(MID(VLOOKUP($B101,Seqs!$A:$B,2,0),AK101,1),"")</f>
        <v>S</v>
      </c>
      <c r="AK101" s="3">
        <v>206</v>
      </c>
      <c r="AL101" s="3" t="str">
        <f>IFERROR(MID(VLOOKUP($B101,Seqs!$A:$B,2,0),AM101,1),"")</f>
        <v>V</v>
      </c>
      <c r="AM101" s="3">
        <v>243</v>
      </c>
      <c r="AN101" s="3" t="str">
        <f>IFERROR(MID(VLOOKUP($B101,Seqs!$A:$B,2,0),AO101,1),"")</f>
        <v>S</v>
      </c>
      <c r="AO101" s="3">
        <v>249</v>
      </c>
      <c r="AP101" s="3" t="str">
        <f>IFERROR(MID(VLOOKUP($B101,Seqs!$A:$B,2,0),AQ101,1),"")</f>
        <v>V</v>
      </c>
      <c r="AQ101" s="3">
        <v>287</v>
      </c>
      <c r="AR101" s="3" t="str">
        <f>IFERROR(MID(VLOOKUP($B101,Seqs!$A:$B,2,0),AS101,1),"")</f>
        <v>D</v>
      </c>
      <c r="AS101" s="3">
        <v>293</v>
      </c>
      <c r="AT101" s="3" t="str">
        <f>IFERROR(MID(VLOOKUP($B101,Seqs!$A:$B,2,0),AU101,1),"")</f>
        <v>L</v>
      </c>
      <c r="AU101" s="3">
        <v>321</v>
      </c>
      <c r="AV101" s="3" t="str">
        <f>IFERROR(MID(VLOOKUP($B101,Seqs!$A:$B,2,0),AW101,1),"")</f>
        <v>D</v>
      </c>
      <c r="AW101" s="3">
        <v>322</v>
      </c>
      <c r="AX101" s="3" t="str">
        <f>IFERROR(MID(VLOOKUP($B101,Seqs!$A:$B,2,0),AY101,1),"")</f>
        <v>K</v>
      </c>
      <c r="AY101" s="3">
        <v>335</v>
      </c>
      <c r="BA101" s="124" t="str">
        <f>VLOOKUP(B101,Classification!A:D,2,0)</f>
        <v>A</v>
      </c>
      <c r="BC101" s="1"/>
      <c r="BD101" s="72">
        <f>S101-Q101+1</f>
        <v>4</v>
      </c>
      <c r="BE101" s="57">
        <f t="shared" si="85"/>
        <v>270</v>
      </c>
      <c r="BF101" s="63" t="b">
        <f t="shared" si="86"/>
        <v>1</v>
      </c>
      <c r="BG101" s="116" t="s">
        <v>1513</v>
      </c>
      <c r="BH101" s="102" t="s">
        <v>1513</v>
      </c>
      <c r="BI101" s="102" t="s">
        <v>1513</v>
      </c>
      <c r="BJ101" s="102" t="s">
        <v>1513</v>
      </c>
      <c r="BK101" s="102" t="s">
        <v>1513</v>
      </c>
      <c r="BL101" s="102" t="s">
        <v>1513</v>
      </c>
      <c r="BM101" s="102" t="s">
        <v>1513</v>
      </c>
      <c r="BN101" s="102" t="s">
        <v>1513</v>
      </c>
      <c r="BO101" s="102" t="s">
        <v>1513</v>
      </c>
      <c r="BP101" s="102" t="s">
        <v>1513</v>
      </c>
      <c r="BQ101" s="102" t="s">
        <v>1513</v>
      </c>
      <c r="BR101" s="102" t="s">
        <v>1513</v>
      </c>
      <c r="BS101" s="116">
        <f t="shared" si="87"/>
        <v>39</v>
      </c>
      <c r="BT101" s="117">
        <f t="shared" si="88"/>
        <v>78</v>
      </c>
      <c r="BU101" s="118">
        <f t="shared" si="89"/>
        <v>82</v>
      </c>
      <c r="BV101" s="117">
        <f t="shared" si="90"/>
        <v>113</v>
      </c>
      <c r="BW101" s="118">
        <f t="shared" si="91"/>
        <v>117</v>
      </c>
      <c r="BX101" s="117">
        <f t="shared" si="92"/>
        <v>153</v>
      </c>
      <c r="BY101" s="118">
        <f t="shared" si="93"/>
        <v>162</v>
      </c>
      <c r="BZ101" s="117">
        <f t="shared" si="94"/>
        <v>198</v>
      </c>
      <c r="CA101" s="118">
        <f t="shared" si="95"/>
        <v>206</v>
      </c>
      <c r="CB101" s="117">
        <f t="shared" si="96"/>
        <v>249</v>
      </c>
      <c r="CC101" s="118">
        <f t="shared" si="97"/>
        <v>293</v>
      </c>
      <c r="CD101" s="117">
        <f t="shared" si="98"/>
        <v>322</v>
      </c>
      <c r="CE101" s="116">
        <f t="shared" si="99"/>
        <v>77</v>
      </c>
      <c r="CF101" s="117">
        <f t="shared" si="100"/>
        <v>81</v>
      </c>
      <c r="CG101" s="118">
        <f t="shared" si="101"/>
        <v>111</v>
      </c>
      <c r="CH101" s="118">
        <f t="shared" si="102"/>
        <v>116</v>
      </c>
      <c r="CI101" s="118">
        <f t="shared" si="103"/>
        <v>152</v>
      </c>
      <c r="CJ101" s="118">
        <f t="shared" si="104"/>
        <v>160</v>
      </c>
      <c r="CK101" s="118">
        <f t="shared" si="105"/>
        <v>187</v>
      </c>
      <c r="CL101" s="118">
        <f t="shared" si="106"/>
        <v>200</v>
      </c>
      <c r="CM101" s="118">
        <f t="shared" si="107"/>
        <v>243</v>
      </c>
      <c r="CN101" s="118">
        <f t="shared" si="108"/>
        <v>287</v>
      </c>
      <c r="CO101" s="118">
        <f t="shared" si="109"/>
        <v>321</v>
      </c>
      <c r="CP101" s="118">
        <f t="shared" si="110"/>
        <v>335</v>
      </c>
      <c r="CQ101" s="57">
        <f t="shared" si="111"/>
        <v>1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</row>
    <row r="102" spans="1:1026" x14ac:dyDescent="0.2">
      <c r="A102" s="3" t="str">
        <f t="shared" si="84"/>
        <v>oprd_human_4N6H</v>
      </c>
      <c r="B102" s="3" t="s">
        <v>528</v>
      </c>
      <c r="C102" s="3" t="s">
        <v>278</v>
      </c>
      <c r="D102" s="3" t="str">
        <f>IFERROR(MID(VLOOKUP($B102,Seqs!$A:$B,2,0),E102,1),"")</f>
        <v>G</v>
      </c>
      <c r="E102" s="3">
        <v>39</v>
      </c>
      <c r="F102" s="3" t="str">
        <f>IFERROR(MID(VLOOKUP($B102,Seqs!$A:$B,2,0),G102,1),"")</f>
        <v>Y</v>
      </c>
      <c r="G102" s="3">
        <v>77</v>
      </c>
      <c r="H102" s="3" t="str">
        <f>IFERROR(MID(VLOOKUP($B102,Seqs!$A:$B,2,0),I102,1),"")</f>
        <v>T</v>
      </c>
      <c r="I102" s="57">
        <v>78</v>
      </c>
      <c r="J102" s="3" t="str">
        <f>IFERROR(MID(VLOOKUP($B102,Seqs!$A:$B,2,0),K102,1),"")</f>
        <v>K</v>
      </c>
      <c r="K102" s="57">
        <v>81</v>
      </c>
      <c r="L102" s="3" t="str">
        <f>IFERROR(MID(VLOOKUP($B102,Seqs!$A:$B,2,0),M102,1),"")</f>
        <v>T</v>
      </c>
      <c r="M102" s="3">
        <v>82</v>
      </c>
      <c r="N102" s="3" t="str">
        <f>IFERROR(MID(VLOOKUP($B102,Seqs!$A:$B,2,0),O102,1),"")</f>
        <v>M</v>
      </c>
      <c r="O102" s="3">
        <v>111</v>
      </c>
      <c r="P102" s="3" t="str">
        <f>IFERROR(MID(VLOOKUP($B102,Seqs!$A:$B,2,0),Q102,1),"")</f>
        <v>T</v>
      </c>
      <c r="Q102" s="3">
        <v>113</v>
      </c>
      <c r="R102" s="3" t="str">
        <f>IFERROR(MID(VLOOKUP($B102,Seqs!$A:$B,2,0),S102,1),"")</f>
        <v>F</v>
      </c>
      <c r="S102" s="3">
        <v>116</v>
      </c>
      <c r="T102" s="3" t="str">
        <f>IFERROR(MID(VLOOKUP($B102,Seqs!$A:$B,2,0),U102,1),"")</f>
        <v>G</v>
      </c>
      <c r="U102" s="3">
        <v>117</v>
      </c>
      <c r="V102" s="3" t="str">
        <f>IFERROR(MID(VLOOKUP($B102,Seqs!$A:$B,2,0),W102,1),"")</f>
        <v>H</v>
      </c>
      <c r="W102" s="3">
        <v>152</v>
      </c>
      <c r="X102" s="3" t="str">
        <f>IFERROR(MID(VLOOKUP($B102,Seqs!$A:$B,2,0),Y102,1),"")</f>
        <v>P</v>
      </c>
      <c r="Y102" s="3">
        <v>153</v>
      </c>
      <c r="Z102" s="3" t="str">
        <f>IFERROR(MID(VLOOKUP($B102,Seqs!$A:$B,2,0),AA102,1),"")</f>
        <v>R</v>
      </c>
      <c r="AA102" s="3">
        <v>160</v>
      </c>
      <c r="AB102" s="3" t="str">
        <f>IFERROR(MID(VLOOKUP($B102,Seqs!$A:$B,2,0),AC102,1),"")</f>
        <v>P</v>
      </c>
      <c r="AC102" s="3">
        <v>162</v>
      </c>
      <c r="AD102" s="3" t="str">
        <f>IFERROR(MID(VLOOKUP($B102,Seqs!$A:$B,2,0),AE102,1),"")</f>
        <v>A</v>
      </c>
      <c r="AE102" s="3">
        <v>187</v>
      </c>
      <c r="AF102" s="3" t="str">
        <f>IFERROR(MID(VLOOKUP($B102,Seqs!$A:$B,2,0),AG102,1),"")</f>
        <v>C</v>
      </c>
      <c r="AG102" s="3">
        <v>198</v>
      </c>
      <c r="AH102" s="3" t="str">
        <f>IFERROR(MID(VLOOKUP($B102,Seqs!$A:$B,2,0),AI102,1),"")</f>
        <v>L</v>
      </c>
      <c r="AI102" s="3">
        <v>200</v>
      </c>
      <c r="AJ102" s="3" t="str">
        <f>IFERROR(MID(VLOOKUP($B102,Seqs!$A:$B,2,0),AK102,1),"")</f>
        <v>S</v>
      </c>
      <c r="AK102" s="3">
        <v>206</v>
      </c>
      <c r="AL102" s="3" t="str">
        <f>IFERROR(MID(VLOOKUP($B102,Seqs!$A:$B,2,0),AM102,1),"")</f>
        <v>V</v>
      </c>
      <c r="AM102" s="3">
        <v>243</v>
      </c>
      <c r="AN102" s="3" t="str">
        <f>IFERROR(MID(VLOOKUP($B102,Seqs!$A:$B,2,0),AO102,1),"")</f>
        <v>K</v>
      </c>
      <c r="AO102" s="3">
        <v>250</v>
      </c>
      <c r="AP102" s="3" t="str">
        <f>IFERROR(MID(VLOOKUP($B102,Seqs!$A:$B,2,0),AQ102,1),"")</f>
        <v>V</v>
      </c>
      <c r="AQ102" s="3">
        <v>287</v>
      </c>
      <c r="AR102" s="3" t="str">
        <f>IFERROR(MID(VLOOKUP($B102,Seqs!$A:$B,2,0),AS102,1),"")</f>
        <v>D</v>
      </c>
      <c r="AS102" s="3">
        <v>293</v>
      </c>
      <c r="AT102" s="3" t="str">
        <f>IFERROR(MID(VLOOKUP($B102,Seqs!$A:$B,2,0),AU102,1),"")</f>
        <v>L</v>
      </c>
      <c r="AU102" s="3">
        <v>321</v>
      </c>
      <c r="AV102" s="3" t="str">
        <f>IFERROR(MID(VLOOKUP($B102,Seqs!$A:$B,2,0),AW102,1),"")</f>
        <v>D</v>
      </c>
      <c r="AW102" s="3">
        <v>322</v>
      </c>
      <c r="AX102" s="3" t="str">
        <f>IFERROR(MID(VLOOKUP($B102,Seqs!$A:$B,2,0),AY102,1),"")</f>
        <v>K</v>
      </c>
      <c r="AY102" s="3">
        <v>335</v>
      </c>
      <c r="BA102" s="124" t="str">
        <f>VLOOKUP(B102,Classification!A:D,2,0)</f>
        <v>A</v>
      </c>
      <c r="BD102" s="2"/>
      <c r="BE102" s="57">
        <f t="shared" si="85"/>
        <v>269</v>
      </c>
      <c r="BF102" s="63" t="b">
        <f t="shared" si="86"/>
        <v>1</v>
      </c>
      <c r="BG102" s="116" t="s">
        <v>1513</v>
      </c>
      <c r="BH102" s="102" t="s">
        <v>1513</v>
      </c>
      <c r="BI102" s="102" t="s">
        <v>1513</v>
      </c>
      <c r="BJ102" s="102" t="s">
        <v>1513</v>
      </c>
      <c r="BK102" s="102" t="s">
        <v>1513</v>
      </c>
      <c r="BL102" s="102" t="s">
        <v>1513</v>
      </c>
      <c r="BM102" s="102" t="s">
        <v>1513</v>
      </c>
      <c r="BN102" s="102" t="s">
        <v>1513</v>
      </c>
      <c r="BO102" s="102" t="s">
        <v>1513</v>
      </c>
      <c r="BP102" s="102" t="s">
        <v>1513</v>
      </c>
      <c r="BQ102" s="102" t="s">
        <v>1513</v>
      </c>
      <c r="BR102" s="102" t="s">
        <v>1513</v>
      </c>
      <c r="BS102" s="116">
        <f t="shared" si="87"/>
        <v>39</v>
      </c>
      <c r="BT102" s="117">
        <f t="shared" si="88"/>
        <v>78</v>
      </c>
      <c r="BU102" s="118">
        <f t="shared" si="89"/>
        <v>82</v>
      </c>
      <c r="BV102" s="117">
        <f t="shared" si="90"/>
        <v>113</v>
      </c>
      <c r="BW102" s="118">
        <f t="shared" si="91"/>
        <v>117</v>
      </c>
      <c r="BX102" s="117">
        <f t="shared" si="92"/>
        <v>153</v>
      </c>
      <c r="BY102" s="118">
        <f t="shared" si="93"/>
        <v>162</v>
      </c>
      <c r="BZ102" s="117">
        <f t="shared" si="94"/>
        <v>198</v>
      </c>
      <c r="CA102" s="118">
        <f t="shared" si="95"/>
        <v>206</v>
      </c>
      <c r="CB102" s="117">
        <f t="shared" si="96"/>
        <v>250</v>
      </c>
      <c r="CC102" s="118">
        <f t="shared" si="97"/>
        <v>293</v>
      </c>
      <c r="CD102" s="117">
        <f t="shared" si="98"/>
        <v>322</v>
      </c>
      <c r="CE102" s="116">
        <f t="shared" si="99"/>
        <v>77</v>
      </c>
      <c r="CF102" s="117">
        <f t="shared" si="100"/>
        <v>81</v>
      </c>
      <c r="CG102" s="118">
        <f t="shared" si="101"/>
        <v>111</v>
      </c>
      <c r="CH102" s="118">
        <f t="shared" si="102"/>
        <v>116</v>
      </c>
      <c r="CI102" s="118">
        <f t="shared" si="103"/>
        <v>152</v>
      </c>
      <c r="CJ102" s="118">
        <f t="shared" si="104"/>
        <v>160</v>
      </c>
      <c r="CK102" s="118">
        <f t="shared" si="105"/>
        <v>187</v>
      </c>
      <c r="CL102" s="118">
        <f t="shared" si="106"/>
        <v>200</v>
      </c>
      <c r="CM102" s="118">
        <f t="shared" si="107"/>
        <v>243</v>
      </c>
      <c r="CN102" s="118">
        <f t="shared" si="108"/>
        <v>287</v>
      </c>
      <c r="CO102" s="118">
        <f t="shared" si="109"/>
        <v>321</v>
      </c>
      <c r="CP102" s="118">
        <f t="shared" si="110"/>
        <v>335</v>
      </c>
      <c r="CQ102" s="57">
        <f t="shared" si="111"/>
        <v>1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</row>
    <row r="103" spans="1:1026" x14ac:dyDescent="0.2">
      <c r="A103" s="3" t="str">
        <f t="shared" si="84"/>
        <v>oprd_human_4RWD</v>
      </c>
      <c r="B103" s="1" t="s">
        <v>528</v>
      </c>
      <c r="C103" s="1" t="s">
        <v>1572</v>
      </c>
      <c r="D103" s="3" t="str">
        <f>IFERROR(MID(VLOOKUP($B103,Seqs!$A:$B,2,0),E103,1),"")</f>
        <v>A</v>
      </c>
      <c r="E103" s="3">
        <v>43</v>
      </c>
      <c r="F103" s="3" t="str">
        <f>IFERROR(MID(VLOOKUP($B103,Seqs!$A:$B,2,0),G103,1),"")</f>
        <v>Y</v>
      </c>
      <c r="G103" s="3">
        <v>77</v>
      </c>
      <c r="H103" s="3" t="str">
        <f>IFERROR(MID(VLOOKUP($B103,Seqs!$A:$B,2,0),I103,1),"")</f>
        <v>T</v>
      </c>
      <c r="I103" s="57">
        <v>78</v>
      </c>
      <c r="J103" s="3" t="str">
        <f>IFERROR(MID(VLOOKUP($B103,Seqs!$A:$B,2,0),K103,1),"")</f>
        <v>K</v>
      </c>
      <c r="K103" s="57">
        <v>81</v>
      </c>
      <c r="L103" s="3" t="str">
        <f>IFERROR(MID(VLOOKUP($B103,Seqs!$A:$B,2,0),M103,1),"")</f>
        <v>T</v>
      </c>
      <c r="M103" s="3">
        <v>82</v>
      </c>
      <c r="N103" s="3" t="str">
        <f>IFERROR(MID(VLOOKUP($B103,Seqs!$A:$B,2,0),O103,1),"")</f>
        <v>M</v>
      </c>
      <c r="O103" s="3">
        <v>111</v>
      </c>
      <c r="P103" s="3" t="str">
        <f>IFERROR(MID(VLOOKUP($B103,Seqs!$A:$B,2,0),Q103,1),"")</f>
        <v>T</v>
      </c>
      <c r="Q103" s="3">
        <v>113</v>
      </c>
      <c r="R103" s="3" t="str">
        <f>IFERROR(MID(VLOOKUP($B103,Seqs!$A:$B,2,0),S103,1),"")</f>
        <v>F</v>
      </c>
      <c r="S103" s="3">
        <v>116</v>
      </c>
      <c r="T103" s="3" t="str">
        <f>IFERROR(MID(VLOOKUP($B103,Seqs!$A:$B,2,0),U103,1),"")</f>
        <v>G</v>
      </c>
      <c r="U103" s="3">
        <v>117</v>
      </c>
      <c r="V103" s="3" t="str">
        <f>IFERROR(MID(VLOOKUP($B103,Seqs!$A:$B,2,0),W103,1),"")</f>
        <v>H</v>
      </c>
      <c r="W103" s="3">
        <v>152</v>
      </c>
      <c r="X103" s="3" t="str">
        <f>IFERROR(MID(VLOOKUP($B103,Seqs!$A:$B,2,0),Y103,1),"")</f>
        <v>P</v>
      </c>
      <c r="Y103" s="3">
        <v>153</v>
      </c>
      <c r="Z103" s="3" t="str">
        <f>IFERROR(MID(VLOOKUP($B103,Seqs!$A:$B,2,0),AA103,1),"")</f>
        <v>R</v>
      </c>
      <c r="AA103" s="3">
        <v>160</v>
      </c>
      <c r="AB103" s="3" t="str">
        <f>IFERROR(MID(VLOOKUP($B103,Seqs!$A:$B,2,0),AC103,1),"")</f>
        <v>P</v>
      </c>
      <c r="AC103" s="3">
        <v>162</v>
      </c>
      <c r="AD103" s="3" t="str">
        <f>IFERROR(MID(VLOOKUP($B103,Seqs!$A:$B,2,0),AE103,1),"")</f>
        <v>A</v>
      </c>
      <c r="AE103" s="3">
        <v>187</v>
      </c>
      <c r="AF103" s="3" t="str">
        <f>IFERROR(MID(VLOOKUP($B103,Seqs!$A:$B,2,0),AG103,1),"")</f>
        <v>C</v>
      </c>
      <c r="AG103" s="3">
        <v>198</v>
      </c>
      <c r="AH103" s="3" t="str">
        <f>IFERROR(MID(VLOOKUP($B103,Seqs!$A:$B,2,0),AI103,1),"")</f>
        <v>L</v>
      </c>
      <c r="AI103" s="3">
        <v>200</v>
      </c>
      <c r="AJ103" s="3" t="str">
        <f>IFERROR(MID(VLOOKUP($B103,Seqs!$A:$B,2,0),AK103,1),"")</f>
        <v>S</v>
      </c>
      <c r="AK103" s="3">
        <v>206</v>
      </c>
      <c r="AL103" s="3" t="str">
        <f>IFERROR(MID(VLOOKUP($B103,Seqs!$A:$B,2,0),AM103,1),"")</f>
        <v>V</v>
      </c>
      <c r="AM103" s="3">
        <v>243</v>
      </c>
      <c r="AN103" s="3" t="str">
        <f>IFERROR(MID(VLOOKUP($B103,Seqs!$A:$B,2,0),AO103,1),"")</f>
        <v>K</v>
      </c>
      <c r="AO103" s="3">
        <v>250</v>
      </c>
      <c r="AP103" s="3" t="str">
        <f>IFERROR(MID(VLOOKUP($B103,Seqs!$A:$B,2,0),AQ103,1),"")</f>
        <v>V</v>
      </c>
      <c r="AQ103" s="3">
        <v>287</v>
      </c>
      <c r="AR103" s="3" t="str">
        <f>IFERROR(MID(VLOOKUP($B103,Seqs!$A:$B,2,0),AS103,1),"")</f>
        <v>D</v>
      </c>
      <c r="AS103" s="3">
        <v>293</v>
      </c>
      <c r="AT103" s="3" t="str">
        <f>IFERROR(MID(VLOOKUP($B103,Seqs!$A:$B,2,0),AU103,1),"")</f>
        <v>L</v>
      </c>
      <c r="AU103" s="3">
        <v>321</v>
      </c>
      <c r="AV103" s="3" t="str">
        <f>IFERROR(MID(VLOOKUP($B103,Seqs!$A:$B,2,0),AW103,1),"")</f>
        <v>D</v>
      </c>
      <c r="AW103" s="3">
        <v>322</v>
      </c>
      <c r="AX103" s="3" t="str">
        <f>IFERROR(MID(VLOOKUP($B103,Seqs!$A:$B,2,0),AY103,1),"")</f>
        <v>C</v>
      </c>
      <c r="AY103" s="3">
        <v>333</v>
      </c>
      <c r="BA103" s="124" t="str">
        <f>VLOOKUP(B103,Classification!A:D,2,0)</f>
        <v>A</v>
      </c>
      <c r="BD103" s="35"/>
      <c r="BE103" s="57">
        <f t="shared" si="85"/>
        <v>263</v>
      </c>
      <c r="BF103" s="63" t="b">
        <f t="shared" si="86"/>
        <v>1</v>
      </c>
      <c r="BG103" s="116" t="s">
        <v>1513</v>
      </c>
      <c r="BH103" s="102" t="s">
        <v>1513</v>
      </c>
      <c r="BI103" s="102" t="s">
        <v>1513</v>
      </c>
      <c r="BJ103" s="102" t="s">
        <v>1513</v>
      </c>
      <c r="BK103" s="102" t="s">
        <v>1513</v>
      </c>
      <c r="BL103" s="102" t="s">
        <v>1513</v>
      </c>
      <c r="BM103" s="102" t="s">
        <v>1513</v>
      </c>
      <c r="BN103" s="102" t="s">
        <v>1513</v>
      </c>
      <c r="BO103" s="102" t="s">
        <v>1513</v>
      </c>
      <c r="BP103" s="102" t="s">
        <v>1513</v>
      </c>
      <c r="BQ103" s="102" t="s">
        <v>1513</v>
      </c>
      <c r="BR103" s="102" t="s">
        <v>1513</v>
      </c>
      <c r="BS103" s="116">
        <f t="shared" si="87"/>
        <v>43</v>
      </c>
      <c r="BT103" s="117">
        <f t="shared" si="88"/>
        <v>78</v>
      </c>
      <c r="BU103" s="118">
        <f t="shared" si="89"/>
        <v>82</v>
      </c>
      <c r="BV103" s="117">
        <f t="shared" si="90"/>
        <v>113</v>
      </c>
      <c r="BW103" s="118">
        <f t="shared" si="91"/>
        <v>117</v>
      </c>
      <c r="BX103" s="117">
        <f t="shared" si="92"/>
        <v>153</v>
      </c>
      <c r="BY103" s="118">
        <f t="shared" si="93"/>
        <v>162</v>
      </c>
      <c r="BZ103" s="117">
        <f t="shared" si="94"/>
        <v>198</v>
      </c>
      <c r="CA103" s="118">
        <f t="shared" si="95"/>
        <v>206</v>
      </c>
      <c r="CB103" s="117">
        <f t="shared" si="96"/>
        <v>250</v>
      </c>
      <c r="CC103" s="118">
        <f t="shared" si="97"/>
        <v>293</v>
      </c>
      <c r="CD103" s="117">
        <f t="shared" si="98"/>
        <v>322</v>
      </c>
      <c r="CE103" s="116">
        <f t="shared" si="99"/>
        <v>77</v>
      </c>
      <c r="CF103" s="117">
        <f t="shared" si="100"/>
        <v>81</v>
      </c>
      <c r="CG103" s="118">
        <f t="shared" si="101"/>
        <v>111</v>
      </c>
      <c r="CH103" s="118">
        <f t="shared" si="102"/>
        <v>116</v>
      </c>
      <c r="CI103" s="118">
        <f t="shared" si="103"/>
        <v>152</v>
      </c>
      <c r="CJ103" s="118">
        <f t="shared" si="104"/>
        <v>160</v>
      </c>
      <c r="CK103" s="118">
        <f t="shared" si="105"/>
        <v>187</v>
      </c>
      <c r="CL103" s="118">
        <f t="shared" si="106"/>
        <v>200</v>
      </c>
      <c r="CM103" s="118">
        <f t="shared" si="107"/>
        <v>243</v>
      </c>
      <c r="CN103" s="118">
        <f t="shared" si="108"/>
        <v>287</v>
      </c>
      <c r="CO103" s="118">
        <f t="shared" si="109"/>
        <v>321</v>
      </c>
      <c r="CP103" s="118">
        <f t="shared" si="110"/>
        <v>333</v>
      </c>
      <c r="CQ103" s="57">
        <f t="shared" si="111"/>
        <v>1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</row>
    <row r="104" spans="1:1026" x14ac:dyDescent="0.2">
      <c r="A104" s="3" t="str">
        <f t="shared" si="84"/>
        <v>oprd_mouse__wt</v>
      </c>
      <c r="B104" s="3" t="s">
        <v>1111</v>
      </c>
      <c r="C104" s="3" t="s">
        <v>293</v>
      </c>
      <c r="D104" s="3" t="str">
        <f>IFERROR(MID(VLOOKUP($B104,Seqs!$A:$B,2,0),E104,1),"")</f>
        <v>R</v>
      </c>
      <c r="E104" s="3">
        <v>41</v>
      </c>
      <c r="F104" s="3" t="str">
        <f>IFERROR(MID(VLOOKUP($B104,Seqs!$A:$B,2,0),G104,1),"")</f>
        <v>Y</v>
      </c>
      <c r="G104" s="3">
        <v>77</v>
      </c>
      <c r="H104" s="3" t="str">
        <f>IFERROR(MID(VLOOKUP($B104,Seqs!$A:$B,2,0),I104,1),"")</f>
        <v>T</v>
      </c>
      <c r="I104" s="57">
        <v>78</v>
      </c>
      <c r="J104" s="3" t="str">
        <f>IFERROR(MID(VLOOKUP($B104,Seqs!$A:$B,2,0),K104,1),"")</f>
        <v>K</v>
      </c>
      <c r="K104" s="57">
        <v>81</v>
      </c>
      <c r="L104" s="3" t="str">
        <f>IFERROR(MID(VLOOKUP($B104,Seqs!$A:$B,2,0),M104,1),"")</f>
        <v>T</v>
      </c>
      <c r="M104" s="3">
        <v>82</v>
      </c>
      <c r="N104" s="3" t="str">
        <f>IFERROR(MID(VLOOKUP($B104,Seqs!$A:$B,2,0),O104,1),"")</f>
        <v>M</v>
      </c>
      <c r="O104" s="3">
        <v>111</v>
      </c>
      <c r="P104" s="3" t="str">
        <f>IFERROR(MID(VLOOKUP($B104,Seqs!$A:$B,2,0),Q104,1),"")</f>
        <v>T</v>
      </c>
      <c r="Q104" s="3">
        <v>113</v>
      </c>
      <c r="R104" s="3" t="str">
        <f>IFERROR(MID(VLOOKUP($B104,Seqs!$A:$B,2,0),S104,1),"")</f>
        <v>F</v>
      </c>
      <c r="S104" s="3">
        <v>116</v>
      </c>
      <c r="T104" s="3" t="str">
        <f>IFERROR(MID(VLOOKUP($B104,Seqs!$A:$B,2,0),U104,1),"")</f>
        <v>G</v>
      </c>
      <c r="U104" s="3">
        <v>117</v>
      </c>
      <c r="V104" s="3" t="str">
        <f>IFERROR(MID(VLOOKUP($B104,Seqs!$A:$B,2,0),W104,1),"")</f>
        <v>H</v>
      </c>
      <c r="W104" s="3">
        <v>152</v>
      </c>
      <c r="X104" s="3" t="str">
        <f>IFERROR(MID(VLOOKUP($B104,Seqs!$A:$B,2,0),Y104,1),"")</f>
        <v>P</v>
      </c>
      <c r="Y104" s="3">
        <v>153</v>
      </c>
      <c r="Z104" s="3" t="str">
        <f>IFERROR(MID(VLOOKUP($B104,Seqs!$A:$B,2,0),AA104,1),"")</f>
        <v>R</v>
      </c>
      <c r="AA104" s="3">
        <v>160</v>
      </c>
      <c r="AB104" s="3" t="str">
        <f>IFERROR(MID(VLOOKUP($B104,Seqs!$A:$B,2,0),AC104,1),"")</f>
        <v>P</v>
      </c>
      <c r="AC104" s="3">
        <v>162</v>
      </c>
      <c r="AD104" s="3" t="str">
        <f>IFERROR(MID(VLOOKUP($B104,Seqs!$A:$B,2,0),AE104,1),"")</f>
        <v>A</v>
      </c>
      <c r="AE104" s="3">
        <v>187</v>
      </c>
      <c r="AF104" s="3" t="str">
        <f>IFERROR(MID(VLOOKUP($B104,Seqs!$A:$B,2,0),AG104,1),"")</f>
        <v>C</v>
      </c>
      <c r="AG104" s="3">
        <v>198</v>
      </c>
      <c r="AH104" s="3" t="str">
        <f>IFERROR(MID(VLOOKUP($B104,Seqs!$A:$B,2,0),AI104,1),"")</f>
        <v>L</v>
      </c>
      <c r="AI104" s="3">
        <v>200</v>
      </c>
      <c r="AJ104" s="3" t="str">
        <f>IFERROR(MID(VLOOKUP($B104,Seqs!$A:$B,2,0),AK104,1),"")</f>
        <v>S</v>
      </c>
      <c r="AK104" s="3">
        <v>206</v>
      </c>
      <c r="AL104" s="3" t="str">
        <f>IFERROR(MID(VLOOKUP($B104,Seqs!$A:$B,2,0),AM104,1),"")</f>
        <v>V</v>
      </c>
      <c r="AM104" s="3">
        <v>243</v>
      </c>
      <c r="AN104" s="3" t="str">
        <f>IFERROR(MID(VLOOKUP($B104,Seqs!$A:$B,2,0),AO104,1),"")</f>
        <v>S</v>
      </c>
      <c r="AO104" s="3">
        <v>249</v>
      </c>
      <c r="AP104" s="3" t="str">
        <f>IFERROR(MID(VLOOKUP($B104,Seqs!$A:$B,2,0),AQ104,1),"")</f>
        <v>V</v>
      </c>
      <c r="AQ104" s="3">
        <v>287</v>
      </c>
      <c r="AR104" s="3" t="str">
        <f>IFERROR(MID(VLOOKUP($B104,Seqs!$A:$B,2,0),AS104,1),"")</f>
        <v>D</v>
      </c>
      <c r="AS104" s="3">
        <v>293</v>
      </c>
      <c r="AT104" s="3" t="str">
        <f>IFERROR(MID(VLOOKUP($B104,Seqs!$A:$B,2,0),AU104,1),"")</f>
        <v>L</v>
      </c>
      <c r="AU104" s="3">
        <v>321</v>
      </c>
      <c r="AV104" s="3" t="str">
        <f>IFERROR(MID(VLOOKUP($B104,Seqs!$A:$B,2,0),AW104,1),"")</f>
        <v>D</v>
      </c>
      <c r="AW104" s="3">
        <v>322</v>
      </c>
      <c r="AX104" s="3" t="str">
        <f>IFERROR(MID(VLOOKUP($B104,Seqs!$A:$B,2,0),AY104,1),"")</f>
        <v>T</v>
      </c>
      <c r="AY104" s="3">
        <v>335</v>
      </c>
      <c r="BA104" s="124" t="str">
        <f>VLOOKUP(B104,Classification!A:D,2,0)</f>
        <v>A</v>
      </c>
      <c r="BC104" s="1"/>
      <c r="BD104" s="72">
        <f>S104-Q104+1</f>
        <v>4</v>
      </c>
      <c r="BE104" s="57">
        <f t="shared" si="85"/>
        <v>268</v>
      </c>
      <c r="BF104" s="63" t="b">
        <f t="shared" si="86"/>
        <v>1</v>
      </c>
      <c r="BG104" s="116" t="s">
        <v>1513</v>
      </c>
      <c r="BH104" s="102" t="s">
        <v>1513</v>
      </c>
      <c r="BI104" s="102" t="s">
        <v>1513</v>
      </c>
      <c r="BJ104" s="102" t="s">
        <v>1513</v>
      </c>
      <c r="BK104" s="102" t="s">
        <v>1513</v>
      </c>
      <c r="BL104" s="102" t="s">
        <v>1513</v>
      </c>
      <c r="BM104" s="102" t="s">
        <v>1513</v>
      </c>
      <c r="BN104" s="102" t="s">
        <v>1513</v>
      </c>
      <c r="BO104" s="102" t="s">
        <v>1513</v>
      </c>
      <c r="BP104" s="102" t="s">
        <v>1513</v>
      </c>
      <c r="BQ104" s="102" t="s">
        <v>1513</v>
      </c>
      <c r="BR104" s="102" t="s">
        <v>1513</v>
      </c>
      <c r="BS104" s="116">
        <f t="shared" si="87"/>
        <v>41</v>
      </c>
      <c r="BT104" s="117">
        <f t="shared" si="88"/>
        <v>78</v>
      </c>
      <c r="BU104" s="118">
        <f t="shared" si="89"/>
        <v>82</v>
      </c>
      <c r="BV104" s="117">
        <f t="shared" si="90"/>
        <v>113</v>
      </c>
      <c r="BW104" s="118">
        <f t="shared" si="91"/>
        <v>117</v>
      </c>
      <c r="BX104" s="117">
        <f t="shared" si="92"/>
        <v>153</v>
      </c>
      <c r="BY104" s="118">
        <f t="shared" si="93"/>
        <v>162</v>
      </c>
      <c r="BZ104" s="117">
        <f t="shared" si="94"/>
        <v>198</v>
      </c>
      <c r="CA104" s="118">
        <f t="shared" si="95"/>
        <v>206</v>
      </c>
      <c r="CB104" s="117">
        <f t="shared" si="96"/>
        <v>249</v>
      </c>
      <c r="CC104" s="118">
        <f t="shared" si="97"/>
        <v>293</v>
      </c>
      <c r="CD104" s="117">
        <f t="shared" si="98"/>
        <v>322</v>
      </c>
      <c r="CE104" s="116">
        <f t="shared" si="99"/>
        <v>77</v>
      </c>
      <c r="CF104" s="117">
        <f t="shared" si="100"/>
        <v>81</v>
      </c>
      <c r="CG104" s="118">
        <f t="shared" si="101"/>
        <v>111</v>
      </c>
      <c r="CH104" s="118">
        <f t="shared" si="102"/>
        <v>116</v>
      </c>
      <c r="CI104" s="118">
        <f t="shared" si="103"/>
        <v>152</v>
      </c>
      <c r="CJ104" s="118">
        <f t="shared" si="104"/>
        <v>160</v>
      </c>
      <c r="CK104" s="118">
        <f t="shared" si="105"/>
        <v>187</v>
      </c>
      <c r="CL104" s="118">
        <f t="shared" si="106"/>
        <v>200</v>
      </c>
      <c r="CM104" s="118">
        <f t="shared" si="107"/>
        <v>243</v>
      </c>
      <c r="CN104" s="118">
        <f t="shared" si="108"/>
        <v>287</v>
      </c>
      <c r="CO104" s="118">
        <f t="shared" si="109"/>
        <v>321</v>
      </c>
      <c r="CP104" s="118">
        <f t="shared" si="110"/>
        <v>335</v>
      </c>
      <c r="CQ104" s="57">
        <f t="shared" si="111"/>
        <v>1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</row>
    <row r="105" spans="1:1026" x14ac:dyDescent="0.2">
      <c r="A105" s="3" t="str">
        <f t="shared" si="84"/>
        <v>oprd_mouse_4EJ4</v>
      </c>
      <c r="B105" s="3" t="s">
        <v>1111</v>
      </c>
      <c r="C105" s="3" t="s">
        <v>254</v>
      </c>
      <c r="D105" s="3" t="str">
        <f>IFERROR(MID(VLOOKUP($B105,Seqs!$A:$B,2,0),E105,1),"")</f>
        <v>R</v>
      </c>
      <c r="E105" s="3">
        <v>41</v>
      </c>
      <c r="F105" s="3" t="str">
        <f>IFERROR(MID(VLOOKUP($B105,Seqs!$A:$B,2,0),G105,1),"")</f>
        <v>Y</v>
      </c>
      <c r="G105" s="3">
        <v>77</v>
      </c>
      <c r="H105" s="3" t="str">
        <f>IFERROR(MID(VLOOKUP($B105,Seqs!$A:$B,2,0),I105,1),"")</f>
        <v>T</v>
      </c>
      <c r="I105" s="57">
        <v>78</v>
      </c>
      <c r="J105" s="3" t="str">
        <f>IFERROR(MID(VLOOKUP($B105,Seqs!$A:$B,2,0),K105,1),"")</f>
        <v>K</v>
      </c>
      <c r="K105" s="57">
        <v>81</v>
      </c>
      <c r="L105" s="3" t="str">
        <f>IFERROR(MID(VLOOKUP($B105,Seqs!$A:$B,2,0),M105,1),"")</f>
        <v>T</v>
      </c>
      <c r="M105" s="3">
        <v>82</v>
      </c>
      <c r="N105" s="3" t="str">
        <f>IFERROR(MID(VLOOKUP($B105,Seqs!$A:$B,2,0),O105,1),"")</f>
        <v>M</v>
      </c>
      <c r="O105" s="3">
        <v>111</v>
      </c>
      <c r="P105" s="3" t="str">
        <f>IFERROR(MID(VLOOKUP($B105,Seqs!$A:$B,2,0),Q105,1),"")</f>
        <v>T</v>
      </c>
      <c r="Q105" s="3">
        <v>113</v>
      </c>
      <c r="R105" s="3" t="str">
        <f>IFERROR(MID(VLOOKUP($B105,Seqs!$A:$B,2,0),S105,1),"")</f>
        <v>F</v>
      </c>
      <c r="S105" s="3">
        <v>116</v>
      </c>
      <c r="T105" s="3" t="str">
        <f>IFERROR(MID(VLOOKUP($B105,Seqs!$A:$B,2,0),U105,1),"")</f>
        <v>G</v>
      </c>
      <c r="U105" s="3">
        <v>117</v>
      </c>
      <c r="V105" s="3" t="str">
        <f>IFERROR(MID(VLOOKUP($B105,Seqs!$A:$B,2,0),W105,1),"")</f>
        <v>H</v>
      </c>
      <c r="W105" s="3">
        <v>152</v>
      </c>
      <c r="X105" s="3" t="str">
        <f>IFERROR(MID(VLOOKUP($B105,Seqs!$A:$B,2,0),Y105,1),"")</f>
        <v>P</v>
      </c>
      <c r="Y105" s="3">
        <v>153</v>
      </c>
      <c r="Z105" s="3" t="str">
        <f>IFERROR(MID(VLOOKUP($B105,Seqs!$A:$B,2,0),AA105,1),"")</f>
        <v>R</v>
      </c>
      <c r="AA105" s="3">
        <v>160</v>
      </c>
      <c r="AB105" s="3" t="str">
        <f>IFERROR(MID(VLOOKUP($B105,Seqs!$A:$B,2,0),AC105,1),"")</f>
        <v>P</v>
      </c>
      <c r="AC105" s="3">
        <v>162</v>
      </c>
      <c r="AD105" s="3" t="str">
        <f>IFERROR(MID(VLOOKUP($B105,Seqs!$A:$B,2,0),AE105,1),"")</f>
        <v>A</v>
      </c>
      <c r="AE105" s="3">
        <v>187</v>
      </c>
      <c r="AF105" s="3" t="str">
        <f>IFERROR(MID(VLOOKUP($B105,Seqs!$A:$B,2,0),AG105,1),"")</f>
        <v>C</v>
      </c>
      <c r="AG105" s="3">
        <v>198</v>
      </c>
      <c r="AH105" s="3" t="str">
        <f>IFERROR(MID(VLOOKUP($B105,Seqs!$A:$B,2,0),AI105,1),"")</f>
        <v>L</v>
      </c>
      <c r="AI105" s="3">
        <v>200</v>
      </c>
      <c r="AJ105" s="3" t="str">
        <f>IFERROR(MID(VLOOKUP($B105,Seqs!$A:$B,2,0),AK105,1),"")</f>
        <v>S</v>
      </c>
      <c r="AK105" s="3">
        <v>206</v>
      </c>
      <c r="AL105" s="3" t="str">
        <f>IFERROR(MID(VLOOKUP($B105,Seqs!$A:$B,2,0),AM105,1),"")</f>
        <v>L</v>
      </c>
      <c r="AM105" s="3">
        <v>238</v>
      </c>
      <c r="AN105" s="3" t="str">
        <f>IFERROR(MID(VLOOKUP($B105,Seqs!$A:$B,2,0),AO105,1),"")</f>
        <v>R</v>
      </c>
      <c r="AO105" s="3">
        <v>258</v>
      </c>
      <c r="AP105" s="3" t="str">
        <f>IFERROR(MID(VLOOKUP($B105,Seqs!$A:$B,2,0),AQ105,1),"")</f>
        <v>V</v>
      </c>
      <c r="AQ105" s="3">
        <v>287</v>
      </c>
      <c r="AR105" s="3" t="str">
        <f>IFERROR(MID(VLOOKUP($B105,Seqs!$A:$B,2,0),AS105,1),"")</f>
        <v>D</v>
      </c>
      <c r="AS105" s="3">
        <v>293</v>
      </c>
      <c r="AT105" s="3" t="str">
        <f>IFERROR(MID(VLOOKUP($B105,Seqs!$A:$B,2,0),AU105,1),"")</f>
        <v>L</v>
      </c>
      <c r="AU105" s="3">
        <v>321</v>
      </c>
      <c r="AV105" s="3" t="str">
        <f>IFERROR(MID(VLOOKUP($B105,Seqs!$A:$B,2,0),AW105,1),"")</f>
        <v>D</v>
      </c>
      <c r="AW105" s="3">
        <v>322</v>
      </c>
      <c r="AX105" s="3" t="str">
        <f>IFERROR(MID(VLOOKUP($B105,Seqs!$A:$B,2,0),AY105,1),"")</f>
        <v>C</v>
      </c>
      <c r="AY105" s="3">
        <v>328</v>
      </c>
      <c r="BA105" s="124" t="str">
        <f>VLOOKUP(B105,Classification!A:D,2,0)</f>
        <v>A</v>
      </c>
      <c r="BC105" s="1"/>
      <c r="BD105" s="4"/>
      <c r="BE105" s="57">
        <f t="shared" si="85"/>
        <v>247</v>
      </c>
      <c r="BF105" s="63" t="b">
        <f t="shared" si="86"/>
        <v>1</v>
      </c>
      <c r="BG105" s="116" t="s">
        <v>1513</v>
      </c>
      <c r="BH105" s="102" t="s">
        <v>1513</v>
      </c>
      <c r="BI105" s="102" t="s">
        <v>1513</v>
      </c>
      <c r="BJ105" s="102" t="s">
        <v>1513</v>
      </c>
      <c r="BK105" s="102" t="s">
        <v>1513</v>
      </c>
      <c r="BL105" s="102" t="s">
        <v>1513</v>
      </c>
      <c r="BM105" s="102" t="s">
        <v>1513</v>
      </c>
      <c r="BN105" s="102" t="s">
        <v>1513</v>
      </c>
      <c r="BO105" s="102" t="s">
        <v>1513</v>
      </c>
      <c r="BP105" s="102" t="s">
        <v>1513</v>
      </c>
      <c r="BQ105" s="102" t="s">
        <v>1513</v>
      </c>
      <c r="BR105" s="102" t="s">
        <v>1513</v>
      </c>
      <c r="BS105" s="116">
        <f t="shared" si="87"/>
        <v>41</v>
      </c>
      <c r="BT105" s="117">
        <f t="shared" si="88"/>
        <v>78</v>
      </c>
      <c r="BU105" s="118">
        <f t="shared" si="89"/>
        <v>82</v>
      </c>
      <c r="BV105" s="117">
        <f t="shared" si="90"/>
        <v>113</v>
      </c>
      <c r="BW105" s="118">
        <f t="shared" si="91"/>
        <v>117</v>
      </c>
      <c r="BX105" s="117">
        <f t="shared" si="92"/>
        <v>153</v>
      </c>
      <c r="BY105" s="118">
        <f t="shared" si="93"/>
        <v>162</v>
      </c>
      <c r="BZ105" s="117">
        <f t="shared" si="94"/>
        <v>198</v>
      </c>
      <c r="CA105" s="118">
        <f t="shared" si="95"/>
        <v>206</v>
      </c>
      <c r="CB105" s="117">
        <f t="shared" si="96"/>
        <v>258</v>
      </c>
      <c r="CC105" s="118">
        <f t="shared" si="97"/>
        <v>293</v>
      </c>
      <c r="CD105" s="117">
        <f t="shared" si="98"/>
        <v>322</v>
      </c>
      <c r="CE105" s="116">
        <f t="shared" si="99"/>
        <v>77</v>
      </c>
      <c r="CF105" s="117">
        <f t="shared" si="100"/>
        <v>81</v>
      </c>
      <c r="CG105" s="118">
        <f t="shared" si="101"/>
        <v>111</v>
      </c>
      <c r="CH105" s="118">
        <f t="shared" si="102"/>
        <v>116</v>
      </c>
      <c r="CI105" s="118">
        <f t="shared" si="103"/>
        <v>152</v>
      </c>
      <c r="CJ105" s="118">
        <f t="shared" si="104"/>
        <v>160</v>
      </c>
      <c r="CK105" s="118">
        <f t="shared" si="105"/>
        <v>187</v>
      </c>
      <c r="CL105" s="118">
        <f t="shared" si="106"/>
        <v>200</v>
      </c>
      <c r="CM105" s="118">
        <f t="shared" si="107"/>
        <v>238</v>
      </c>
      <c r="CN105" s="118">
        <f t="shared" si="108"/>
        <v>287</v>
      </c>
      <c r="CO105" s="118">
        <f t="shared" si="109"/>
        <v>321</v>
      </c>
      <c r="CP105" s="118">
        <f t="shared" si="110"/>
        <v>328</v>
      </c>
      <c r="CQ105" s="57">
        <f t="shared" si="111"/>
        <v>1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</row>
    <row r="106" spans="1:1026" x14ac:dyDescent="0.2">
      <c r="A106" s="3" t="str">
        <f t="shared" si="84"/>
        <v>oprk_human__wt</v>
      </c>
      <c r="B106" s="3" t="s">
        <v>529</v>
      </c>
      <c r="C106" s="3" t="s">
        <v>293</v>
      </c>
      <c r="D106" s="3" t="str">
        <f>IFERROR(MID(VLOOKUP($B106,Seqs!$A:$B,2,0),E106,1),"")</f>
        <v>A</v>
      </c>
      <c r="E106" s="3">
        <v>57</v>
      </c>
      <c r="F106" s="3" t="str">
        <f>IFERROR(MID(VLOOKUP($B106,Seqs!$A:$B,2,0),G106,1),"")</f>
        <v>Y</v>
      </c>
      <c r="G106" s="3">
        <v>87</v>
      </c>
      <c r="H106" s="3" t="str">
        <f>IFERROR(MID(VLOOKUP($B106,Seqs!$A:$B,2,0),I106,1),"")</f>
        <v>T</v>
      </c>
      <c r="I106" s="57">
        <v>88</v>
      </c>
      <c r="J106" s="3" t="str">
        <f>IFERROR(MID(VLOOKUP($B106,Seqs!$A:$B,2,0),K106,1),"")</f>
        <v>K</v>
      </c>
      <c r="K106" s="57">
        <v>91</v>
      </c>
      <c r="L106" s="3" t="str">
        <f>IFERROR(MID(VLOOKUP($B106,Seqs!$A:$B,2,0),M106,1),"")</f>
        <v>T</v>
      </c>
      <c r="M106" s="3">
        <v>92</v>
      </c>
      <c r="N106" s="3" t="str">
        <f>IFERROR(MID(VLOOKUP($B106,Seqs!$A:$B,2,0),O106,1),"")</f>
        <v>M</v>
      </c>
      <c r="O106" s="3">
        <v>121</v>
      </c>
      <c r="P106" s="3" t="str">
        <f>IFERROR(MID(VLOOKUP($B106,Seqs!$A:$B,2,0),Q106,1),"")</f>
        <v>S</v>
      </c>
      <c r="Q106" s="3">
        <v>123</v>
      </c>
      <c r="R106" s="3" t="str">
        <f>IFERROR(MID(VLOOKUP($B106,Seqs!$A:$B,2,0),S106,1),"")</f>
        <v>F</v>
      </c>
      <c r="S106" s="3">
        <v>126</v>
      </c>
      <c r="T106" s="3" t="str">
        <f>IFERROR(MID(VLOOKUP($B106,Seqs!$A:$B,2,0),U106,1),"")</f>
        <v>G</v>
      </c>
      <c r="U106" s="3">
        <v>127</v>
      </c>
      <c r="V106" s="3" t="str">
        <f>IFERROR(MID(VLOOKUP($B106,Seqs!$A:$B,2,0),W106,1),"")</f>
        <v>H</v>
      </c>
      <c r="W106" s="3">
        <v>162</v>
      </c>
      <c r="X106" s="3" t="str">
        <f>IFERROR(MID(VLOOKUP($B106,Seqs!$A:$B,2,0),Y106,1),"")</f>
        <v>P</v>
      </c>
      <c r="Y106" s="3">
        <v>163</v>
      </c>
      <c r="Z106" s="3" t="str">
        <f>IFERROR(MID(VLOOKUP($B106,Seqs!$A:$B,2,0),AA106,1),"")</f>
        <v>R</v>
      </c>
      <c r="AA106" s="3">
        <v>170</v>
      </c>
      <c r="AB106" s="3" t="str">
        <f>IFERROR(MID(VLOOKUP($B106,Seqs!$A:$B,2,0),AC106,1),"")</f>
        <v>P</v>
      </c>
      <c r="AC106" s="3">
        <v>172</v>
      </c>
      <c r="AD106" s="3" t="str">
        <f>IFERROR(MID(VLOOKUP($B106,Seqs!$A:$B,2,0),AE106,1),"")</f>
        <v>G</v>
      </c>
      <c r="AE106" s="3">
        <v>197</v>
      </c>
      <c r="AF106" s="3" t="str">
        <f>IFERROR(MID(VLOOKUP($B106,Seqs!$A:$B,2,0),AG106,1),"")</f>
        <v>C</v>
      </c>
      <c r="AG106" s="3">
        <v>210</v>
      </c>
      <c r="AH106" s="3" t="str">
        <f>IFERROR(MID(VLOOKUP($B106,Seqs!$A:$B,2,0),AI106,1),"")</f>
        <v>L</v>
      </c>
      <c r="AI106" s="3">
        <v>212</v>
      </c>
      <c r="AJ106" s="3" t="str">
        <f>IFERROR(MID(VLOOKUP($B106,Seqs!$A:$B,2,0),AK106,1),"")</f>
        <v>Y</v>
      </c>
      <c r="AK106" s="3">
        <v>219</v>
      </c>
      <c r="AL106" s="3" t="str">
        <f>IFERROR(MID(VLOOKUP($B106,Seqs!$A:$B,2,0),AM106,1),"")</f>
        <v>V</v>
      </c>
      <c r="AM106" s="3">
        <v>256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G</v>
      </c>
      <c r="AQ106" s="3">
        <v>300</v>
      </c>
      <c r="AR106" s="3" t="str">
        <f>IFERROR(MID(VLOOKUP($B106,Seqs!$A:$B,2,0),AS106,1),"")</f>
        <v>S</v>
      </c>
      <c r="AS106" s="3">
        <v>305</v>
      </c>
      <c r="AT106" s="3" t="str">
        <f>IFERROR(MID(VLOOKUP($B106,Seqs!$A:$B,2,0),AU106,1),"")</f>
        <v>L</v>
      </c>
      <c r="AU106" s="3">
        <v>333</v>
      </c>
      <c r="AV106" s="3" t="str">
        <f>IFERROR(MID(VLOOKUP($B106,Seqs!$A:$B,2,0),AW106,1),"")</f>
        <v>D</v>
      </c>
      <c r="AW106" s="3">
        <v>334</v>
      </c>
      <c r="AX106" s="3" t="str">
        <f>IFERROR(MID(VLOOKUP($B106,Seqs!$A:$B,2,0),AY106,1),"")</f>
        <v>F</v>
      </c>
      <c r="AY106" s="3">
        <v>346</v>
      </c>
      <c r="BA106" s="124" t="str">
        <f>VLOOKUP(B106,Classification!A:D,2,0)</f>
        <v>A</v>
      </c>
      <c r="BC106" s="1"/>
      <c r="BD106" s="72">
        <f>S106-Q106+1</f>
        <v>4</v>
      </c>
      <c r="BE106" s="57">
        <f t="shared" si="85"/>
        <v>261</v>
      </c>
      <c r="BF106" s="63" t="b">
        <f t="shared" si="86"/>
        <v>1</v>
      </c>
      <c r="BG106" s="116" t="s">
        <v>1513</v>
      </c>
      <c r="BH106" s="102" t="s">
        <v>1513</v>
      </c>
      <c r="BI106" s="102" t="s">
        <v>1513</v>
      </c>
      <c r="BJ106" s="102" t="s">
        <v>1513</v>
      </c>
      <c r="BK106" s="102" t="s">
        <v>1513</v>
      </c>
      <c r="BL106" s="102" t="s">
        <v>1513</v>
      </c>
      <c r="BM106" s="102" t="s">
        <v>1513</v>
      </c>
      <c r="BN106" s="102" t="s">
        <v>1513</v>
      </c>
      <c r="BO106" s="102" t="s">
        <v>1513</v>
      </c>
      <c r="BP106" s="102" t="s">
        <v>1513</v>
      </c>
      <c r="BQ106" s="102" t="s">
        <v>1513</v>
      </c>
      <c r="BR106" s="102" t="s">
        <v>1513</v>
      </c>
      <c r="BS106" s="116">
        <f t="shared" si="87"/>
        <v>57</v>
      </c>
      <c r="BT106" s="117">
        <f t="shared" si="88"/>
        <v>88</v>
      </c>
      <c r="BU106" s="118">
        <f t="shared" si="89"/>
        <v>92</v>
      </c>
      <c r="BV106" s="117">
        <f t="shared" si="90"/>
        <v>123</v>
      </c>
      <c r="BW106" s="118">
        <f t="shared" si="91"/>
        <v>127</v>
      </c>
      <c r="BX106" s="117">
        <f t="shared" si="92"/>
        <v>163</v>
      </c>
      <c r="BY106" s="118">
        <f t="shared" si="93"/>
        <v>172</v>
      </c>
      <c r="BZ106" s="117">
        <f t="shared" si="94"/>
        <v>210</v>
      </c>
      <c r="CA106" s="118">
        <f t="shared" si="95"/>
        <v>219</v>
      </c>
      <c r="CB106" s="117">
        <f t="shared" si="96"/>
        <v>262</v>
      </c>
      <c r="CC106" s="118">
        <f t="shared" si="97"/>
        <v>305</v>
      </c>
      <c r="CD106" s="117">
        <f t="shared" si="98"/>
        <v>334</v>
      </c>
      <c r="CE106" s="116">
        <f t="shared" si="99"/>
        <v>87</v>
      </c>
      <c r="CF106" s="117">
        <f t="shared" si="100"/>
        <v>91</v>
      </c>
      <c r="CG106" s="118">
        <f t="shared" si="101"/>
        <v>121</v>
      </c>
      <c r="CH106" s="118">
        <f t="shared" si="102"/>
        <v>126</v>
      </c>
      <c r="CI106" s="118">
        <f t="shared" si="103"/>
        <v>162</v>
      </c>
      <c r="CJ106" s="118">
        <f t="shared" si="104"/>
        <v>170</v>
      </c>
      <c r="CK106" s="118">
        <f t="shared" si="105"/>
        <v>197</v>
      </c>
      <c r="CL106" s="118">
        <f t="shared" si="106"/>
        <v>212</v>
      </c>
      <c r="CM106" s="118">
        <f t="shared" si="107"/>
        <v>256</v>
      </c>
      <c r="CN106" s="118">
        <f t="shared" si="108"/>
        <v>300</v>
      </c>
      <c r="CO106" s="118">
        <f t="shared" si="109"/>
        <v>333</v>
      </c>
      <c r="CP106" s="118">
        <f t="shared" si="110"/>
        <v>346</v>
      </c>
      <c r="CQ106" s="57">
        <f t="shared" si="111"/>
        <v>1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</row>
    <row r="107" spans="1:1026" x14ac:dyDescent="0.2">
      <c r="A107" s="3" t="str">
        <f t="shared" si="84"/>
        <v>oprk_human_4DJH</v>
      </c>
      <c r="B107" s="3" t="s">
        <v>529</v>
      </c>
      <c r="C107" s="3" t="s">
        <v>279</v>
      </c>
      <c r="D107" s="3" t="str">
        <f>IFERROR(MID(VLOOKUP($B107,Seqs!$A:$B,2,0),E107,1),"")</f>
        <v>A</v>
      </c>
      <c r="E107" s="3">
        <v>57</v>
      </c>
      <c r="F107" s="3" t="str">
        <f>IFERROR(MID(VLOOKUP($B107,Seqs!$A:$B,2,0),G107,1),"")</f>
        <v>Y</v>
      </c>
      <c r="G107" s="3">
        <v>87</v>
      </c>
      <c r="H107" s="3" t="str">
        <f>IFERROR(MID(VLOOKUP($B107,Seqs!$A:$B,2,0),I107,1),"")</f>
        <v>T</v>
      </c>
      <c r="I107" s="57">
        <v>88</v>
      </c>
      <c r="J107" s="3" t="str">
        <f>IFERROR(MID(VLOOKUP($B107,Seqs!$A:$B,2,0),K107,1),"")</f>
        <v>K</v>
      </c>
      <c r="K107" s="57">
        <v>91</v>
      </c>
      <c r="L107" s="3" t="str">
        <f>IFERROR(MID(VLOOKUP($B107,Seqs!$A:$B,2,0),M107,1),"")</f>
        <v>T</v>
      </c>
      <c r="M107" s="3">
        <v>92</v>
      </c>
      <c r="N107" s="3" t="str">
        <f>IFERROR(MID(VLOOKUP($B107,Seqs!$A:$B,2,0),O107,1),"")</f>
        <v>M</v>
      </c>
      <c r="O107" s="3">
        <v>121</v>
      </c>
      <c r="P107" s="3" t="str">
        <f>IFERROR(MID(VLOOKUP($B107,Seqs!$A:$B,2,0),Q107,1),"")</f>
        <v>S</v>
      </c>
      <c r="Q107" s="3">
        <v>123</v>
      </c>
      <c r="R107" s="3" t="str">
        <f>IFERROR(MID(VLOOKUP($B107,Seqs!$A:$B,2,0),S107,1),"")</f>
        <v>F</v>
      </c>
      <c r="S107" s="3">
        <v>126</v>
      </c>
      <c r="T107" s="3" t="str">
        <f>IFERROR(MID(VLOOKUP($B107,Seqs!$A:$B,2,0),U107,1),"")</f>
        <v>G</v>
      </c>
      <c r="U107" s="3">
        <v>127</v>
      </c>
      <c r="V107" s="3" t="str">
        <f>IFERROR(MID(VLOOKUP($B107,Seqs!$A:$B,2,0),W107,1),"")</f>
        <v>H</v>
      </c>
      <c r="W107" s="3">
        <v>162</v>
      </c>
      <c r="X107" s="3" t="str">
        <f>IFERROR(MID(VLOOKUP($B107,Seqs!$A:$B,2,0),Y107,1),"")</f>
        <v>P</v>
      </c>
      <c r="Y107" s="3">
        <v>163</v>
      </c>
      <c r="Z107" s="3" t="str">
        <f>IFERROR(MID(VLOOKUP($B107,Seqs!$A:$B,2,0),AA107,1),"")</f>
        <v>L</v>
      </c>
      <c r="AA107" s="3">
        <v>167</v>
      </c>
      <c r="AB107" s="3" t="str">
        <f>IFERROR(MID(VLOOKUP($B107,Seqs!$A:$B,2,0),AC107,1),"")</f>
        <v>R</v>
      </c>
      <c r="AC107" s="3">
        <v>170</v>
      </c>
      <c r="AD107" s="3" t="str">
        <f>IFERROR(MID(VLOOKUP($B107,Seqs!$A:$B,2,0),AE107,1),"")</f>
        <v>G</v>
      </c>
      <c r="AE107" s="3">
        <v>197</v>
      </c>
      <c r="AF107" s="3" t="str">
        <f>IFERROR(MID(VLOOKUP($B107,Seqs!$A:$B,2,0),AG107,1),"")</f>
        <v>C</v>
      </c>
      <c r="AG107" s="3">
        <v>210</v>
      </c>
      <c r="AH107" s="3" t="str">
        <f>IFERROR(MID(VLOOKUP($B107,Seqs!$A:$B,2,0),AI107,1),"")</f>
        <v>L</v>
      </c>
      <c r="AI107" s="3">
        <v>212</v>
      </c>
      <c r="AJ107" s="3" t="str">
        <f>IFERROR(MID(VLOOKUP($B107,Seqs!$A:$B,2,0),AK107,1),"")</f>
        <v>Y</v>
      </c>
      <c r="AK107" s="3">
        <v>219</v>
      </c>
      <c r="AL107" s="3" t="str">
        <f>IFERROR(MID(VLOOKUP($B107,Seqs!$A:$B,2,0),AM107,1),"")</f>
        <v>V</v>
      </c>
      <c r="AM107" s="3">
        <v>256</v>
      </c>
      <c r="AN107" s="3" t="str">
        <f>IFERROR(MID(VLOOKUP($B107,Seqs!$A:$B,2,0),AO107,1),"")</f>
        <v>R</v>
      </c>
      <c r="AO107" s="3">
        <v>267</v>
      </c>
      <c r="AP107" s="3" t="str">
        <f>IFERROR(MID(VLOOKUP($B107,Seqs!$A:$B,2,0),AQ107,1),"")</f>
        <v>G</v>
      </c>
      <c r="AQ107" s="3">
        <v>300</v>
      </c>
      <c r="AR107" s="3" t="str">
        <f>IFERROR(MID(VLOOKUP($B107,Seqs!$A:$B,2,0),AS107,1),"")</f>
        <v>A</v>
      </c>
      <c r="AS107" s="3">
        <v>308</v>
      </c>
      <c r="AT107" s="3" t="str">
        <f>IFERROR(MID(VLOOKUP($B107,Seqs!$A:$B,2,0),AU107,1),"")</f>
        <v>L</v>
      </c>
      <c r="AU107" s="3">
        <v>333</v>
      </c>
      <c r="AV107" s="3" t="str">
        <f>IFERROR(MID(VLOOKUP($B107,Seqs!$A:$B,2,0),AW107,1),"")</f>
        <v>D</v>
      </c>
      <c r="AW107" s="3">
        <v>334</v>
      </c>
      <c r="AX107" s="3" t="str">
        <f>IFERROR(MID(VLOOKUP($B107,Seqs!$A:$B,2,0),AY107,1),"")</f>
        <v>F</v>
      </c>
      <c r="AY107" s="3">
        <v>346</v>
      </c>
      <c r="BA107" s="124" t="str">
        <f>VLOOKUP(B107,Classification!A:D,2,0)</f>
        <v>A</v>
      </c>
      <c r="BC107" s="1"/>
      <c r="BD107" s="1"/>
      <c r="BE107" s="57">
        <f t="shared" si="85"/>
        <v>252</v>
      </c>
      <c r="BF107" s="63" t="b">
        <f t="shared" si="86"/>
        <v>1</v>
      </c>
      <c r="BG107" s="116" t="s">
        <v>1513</v>
      </c>
      <c r="BH107" s="102" t="s">
        <v>1513</v>
      </c>
      <c r="BI107" s="102" t="s">
        <v>1513</v>
      </c>
      <c r="BJ107" s="102" t="s">
        <v>1513</v>
      </c>
      <c r="BK107" s="102" t="s">
        <v>1513</v>
      </c>
      <c r="BL107" s="102" t="s">
        <v>1513</v>
      </c>
      <c r="BM107" s="102" t="s">
        <v>1513</v>
      </c>
      <c r="BN107" s="102" t="s">
        <v>1513</v>
      </c>
      <c r="BO107" s="102" t="s">
        <v>1513</v>
      </c>
      <c r="BP107" s="102" t="s">
        <v>1513</v>
      </c>
      <c r="BQ107" s="102" t="s">
        <v>1513</v>
      </c>
      <c r="BR107" s="102" t="s">
        <v>1513</v>
      </c>
      <c r="BS107" s="116">
        <f t="shared" si="87"/>
        <v>57</v>
      </c>
      <c r="BT107" s="117">
        <f t="shared" si="88"/>
        <v>88</v>
      </c>
      <c r="BU107" s="118">
        <f t="shared" si="89"/>
        <v>92</v>
      </c>
      <c r="BV107" s="117">
        <f t="shared" si="90"/>
        <v>123</v>
      </c>
      <c r="BW107" s="118">
        <f t="shared" si="91"/>
        <v>127</v>
      </c>
      <c r="BX107" s="117">
        <f t="shared" si="92"/>
        <v>163</v>
      </c>
      <c r="BY107" s="118">
        <f t="shared" si="93"/>
        <v>170</v>
      </c>
      <c r="BZ107" s="117">
        <f t="shared" si="94"/>
        <v>210</v>
      </c>
      <c r="CA107" s="118">
        <f t="shared" si="95"/>
        <v>219</v>
      </c>
      <c r="CB107" s="117">
        <f t="shared" si="96"/>
        <v>267</v>
      </c>
      <c r="CC107" s="118">
        <f t="shared" si="97"/>
        <v>308</v>
      </c>
      <c r="CD107" s="117">
        <f t="shared" si="98"/>
        <v>334</v>
      </c>
      <c r="CE107" s="116">
        <f t="shared" si="99"/>
        <v>87</v>
      </c>
      <c r="CF107" s="117">
        <f t="shared" si="100"/>
        <v>91</v>
      </c>
      <c r="CG107" s="118">
        <f t="shared" si="101"/>
        <v>121</v>
      </c>
      <c r="CH107" s="118">
        <f t="shared" si="102"/>
        <v>126</v>
      </c>
      <c r="CI107" s="118">
        <f t="shared" si="103"/>
        <v>162</v>
      </c>
      <c r="CJ107" s="118">
        <f t="shared" si="104"/>
        <v>167</v>
      </c>
      <c r="CK107" s="118">
        <f t="shared" si="105"/>
        <v>197</v>
      </c>
      <c r="CL107" s="118">
        <f t="shared" si="106"/>
        <v>212</v>
      </c>
      <c r="CM107" s="118">
        <f t="shared" si="107"/>
        <v>256</v>
      </c>
      <c r="CN107" s="118">
        <f t="shared" si="108"/>
        <v>300</v>
      </c>
      <c r="CO107" s="118">
        <f t="shared" si="109"/>
        <v>333</v>
      </c>
      <c r="CP107" s="118">
        <f t="shared" si="110"/>
        <v>346</v>
      </c>
      <c r="CQ107" s="57">
        <f t="shared" si="111"/>
        <v>1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</row>
    <row r="108" spans="1:1026" x14ac:dyDescent="0.2">
      <c r="A108" s="3" t="str">
        <f t="shared" si="84"/>
        <v>oprm_mouse__wt</v>
      </c>
      <c r="B108" s="3" t="s">
        <v>1113</v>
      </c>
      <c r="C108" s="3" t="s">
        <v>293</v>
      </c>
      <c r="D108" s="3" t="str">
        <f>IFERROR(MID(VLOOKUP($B108,Seqs!$A:$B,2,0),E108,1),"")</f>
        <v>M</v>
      </c>
      <c r="E108" s="3">
        <v>65</v>
      </c>
      <c r="F108" s="3" t="str">
        <f>IFERROR(MID(VLOOKUP($B108,Seqs!$A:$B,2,0),G108,1),"")</f>
        <v>Y</v>
      </c>
      <c r="G108" s="3">
        <v>96</v>
      </c>
      <c r="H108" s="3" t="str">
        <f>IFERROR(MID(VLOOKUP($B108,Seqs!$A:$B,2,0),I108,1),"")</f>
        <v>T</v>
      </c>
      <c r="I108" s="57">
        <v>97</v>
      </c>
      <c r="J108" s="3" t="str">
        <f>IFERROR(MID(VLOOKUP($B108,Seqs!$A:$B,2,0),K108,1),"")</f>
        <v>K</v>
      </c>
      <c r="K108" s="57">
        <v>100</v>
      </c>
      <c r="L108" s="3" t="str">
        <f>IFERROR(MID(VLOOKUP($B108,Seqs!$A:$B,2,0),M108,1),"")</f>
        <v>T</v>
      </c>
      <c r="M108" s="3">
        <v>101</v>
      </c>
      <c r="N108" s="3" t="str">
        <f>IFERROR(MID(VLOOKUP($B108,Seqs!$A:$B,2,0),O108,1),"")</f>
        <v>M</v>
      </c>
      <c r="O108" s="3">
        <v>130</v>
      </c>
      <c r="P108" s="3" t="str">
        <f>IFERROR(MID(VLOOKUP($B108,Seqs!$A:$B,2,0),Q108,1),"")</f>
        <v>T</v>
      </c>
      <c r="Q108" s="3">
        <v>132</v>
      </c>
      <c r="R108" s="3" t="str">
        <f>IFERROR(MID(VLOOKUP($B108,Seqs!$A:$B,2,0),S108,1),"")</f>
        <v>F</v>
      </c>
      <c r="S108" s="3">
        <v>135</v>
      </c>
      <c r="T108" s="3" t="str">
        <f>IFERROR(MID(VLOOKUP($B108,Seqs!$A:$B,2,0),U108,1),"")</f>
        <v>G</v>
      </c>
      <c r="U108" s="3">
        <v>136</v>
      </c>
      <c r="V108" s="3" t="str">
        <f>IFERROR(MID(VLOOKUP($B108,Seqs!$A:$B,2,0),W108,1),"")</f>
        <v>H</v>
      </c>
      <c r="W108" s="3">
        <v>171</v>
      </c>
      <c r="X108" s="3" t="str">
        <f>IFERROR(MID(VLOOKUP($B108,Seqs!$A:$B,2,0),Y108,1),"")</f>
        <v>P</v>
      </c>
      <c r="Y108" s="3">
        <v>172</v>
      </c>
      <c r="Z108" s="3" t="str">
        <f>IFERROR(MID(VLOOKUP($B108,Seqs!$A:$B,2,0),AA108,1),"")</f>
        <v>R</v>
      </c>
      <c r="AA108" s="3">
        <v>179</v>
      </c>
      <c r="AB108" s="3" t="str">
        <f>IFERROR(MID(VLOOKUP($B108,Seqs!$A:$B,2,0),AC108,1),"")</f>
        <v>P</v>
      </c>
      <c r="AC108" s="3">
        <v>181</v>
      </c>
      <c r="AD108" s="3" t="str">
        <f>IFERROR(MID(VLOOKUP($B108,Seqs!$A:$B,2,0),AE108,1),"")</f>
        <v>A</v>
      </c>
      <c r="AE108" s="3">
        <v>206</v>
      </c>
      <c r="AF108" s="3" t="str">
        <f>IFERROR(MID(VLOOKUP($B108,Seqs!$A:$B,2,0),AG108,1),"")</f>
        <v>C</v>
      </c>
      <c r="AG108" s="3">
        <v>217</v>
      </c>
      <c r="AH108" s="3" t="str">
        <f>IFERROR(MID(VLOOKUP($B108,Seqs!$A:$B,2,0),AI108,1),"")</f>
        <v>L</v>
      </c>
      <c r="AI108" s="3">
        <v>219</v>
      </c>
      <c r="AJ108" s="3" t="str">
        <f>IFERROR(MID(VLOOKUP($B108,Seqs!$A:$B,2,0),AK108,1),"")</f>
        <v>T</v>
      </c>
      <c r="AK108" s="3">
        <v>225</v>
      </c>
      <c r="AL108" s="3" t="str">
        <f>IFERROR(MID(VLOOKUP($B108,Seqs!$A:$B,2,0),AM108,1),"")</f>
        <v>V</v>
      </c>
      <c r="AM108" s="3">
        <v>262</v>
      </c>
      <c r="AN108" s="3" t="str">
        <f>IFERROR(MID(VLOOKUP($B108,Seqs!$A:$B,2,0),AO108,1),"")</f>
        <v>S</v>
      </c>
      <c r="AO108" s="3">
        <v>268</v>
      </c>
      <c r="AP108" s="3" t="str">
        <f>IFERROR(MID(VLOOKUP($B108,Seqs!$A:$B,2,0),AQ108,1),"")</f>
        <v>I</v>
      </c>
      <c r="AQ108" s="3">
        <v>306</v>
      </c>
      <c r="AR108" s="3" t="str">
        <f>IFERROR(MID(VLOOKUP($B108,Seqs!$A:$B,2,0),AS108,1),"")</f>
        <v>T</v>
      </c>
      <c r="AS108" s="3">
        <v>311</v>
      </c>
      <c r="AT108" s="3" t="str">
        <f>IFERROR(MID(VLOOKUP($B108,Seqs!$A:$B,2,0),AU108,1),"")</f>
        <v>L</v>
      </c>
      <c r="AU108" s="3">
        <v>339</v>
      </c>
      <c r="AV108" s="3" t="str">
        <f>IFERROR(MID(VLOOKUP($B108,Seqs!$A:$B,2,0),AW108,1),"")</f>
        <v>D</v>
      </c>
      <c r="AW108" s="3">
        <v>340</v>
      </c>
      <c r="AX108" s="3" t="str">
        <f>IFERROR(MID(VLOOKUP($B108,Seqs!$A:$B,2,0),AY108,1),"")</f>
        <v>I</v>
      </c>
      <c r="AY108" s="3">
        <v>352</v>
      </c>
      <c r="BA108" s="124" t="str">
        <f>VLOOKUP(B108,Classification!A:D,2,0)</f>
        <v>A</v>
      </c>
      <c r="BC108" s="1"/>
      <c r="BD108" s="72">
        <f>S108-Q108+1</f>
        <v>4</v>
      </c>
      <c r="BE108" s="57">
        <f t="shared" si="85"/>
        <v>262</v>
      </c>
      <c r="BF108" s="63" t="b">
        <f t="shared" si="86"/>
        <v>1</v>
      </c>
      <c r="BG108" s="116" t="s">
        <v>1513</v>
      </c>
      <c r="BH108" s="102" t="s">
        <v>1513</v>
      </c>
      <c r="BI108" s="102" t="s">
        <v>1513</v>
      </c>
      <c r="BJ108" s="102" t="s">
        <v>1513</v>
      </c>
      <c r="BK108" s="102" t="s">
        <v>1513</v>
      </c>
      <c r="BL108" s="102" t="s">
        <v>1513</v>
      </c>
      <c r="BM108" s="102" t="s">
        <v>1513</v>
      </c>
      <c r="BN108" s="102" t="s">
        <v>1513</v>
      </c>
      <c r="BO108" s="102" t="s">
        <v>1513</v>
      </c>
      <c r="BP108" s="102" t="s">
        <v>1513</v>
      </c>
      <c r="BQ108" s="102" t="s">
        <v>1513</v>
      </c>
      <c r="BR108" s="102" t="s">
        <v>1513</v>
      </c>
      <c r="BS108" s="116">
        <f t="shared" si="87"/>
        <v>65</v>
      </c>
      <c r="BT108" s="117">
        <f t="shared" si="88"/>
        <v>97</v>
      </c>
      <c r="BU108" s="118">
        <f t="shared" si="89"/>
        <v>101</v>
      </c>
      <c r="BV108" s="117">
        <f t="shared" si="90"/>
        <v>132</v>
      </c>
      <c r="BW108" s="118">
        <f t="shared" si="91"/>
        <v>136</v>
      </c>
      <c r="BX108" s="117">
        <f t="shared" si="92"/>
        <v>172</v>
      </c>
      <c r="BY108" s="118">
        <f t="shared" si="93"/>
        <v>181</v>
      </c>
      <c r="BZ108" s="117">
        <f t="shared" si="94"/>
        <v>217</v>
      </c>
      <c r="CA108" s="118">
        <f t="shared" si="95"/>
        <v>225</v>
      </c>
      <c r="CB108" s="117">
        <f t="shared" si="96"/>
        <v>268</v>
      </c>
      <c r="CC108" s="118">
        <f t="shared" si="97"/>
        <v>311</v>
      </c>
      <c r="CD108" s="117">
        <f t="shared" si="98"/>
        <v>340</v>
      </c>
      <c r="CE108" s="116">
        <f t="shared" si="99"/>
        <v>96</v>
      </c>
      <c r="CF108" s="117">
        <f t="shared" si="100"/>
        <v>100</v>
      </c>
      <c r="CG108" s="118">
        <f t="shared" si="101"/>
        <v>130</v>
      </c>
      <c r="CH108" s="118">
        <f t="shared" si="102"/>
        <v>135</v>
      </c>
      <c r="CI108" s="118">
        <f t="shared" si="103"/>
        <v>171</v>
      </c>
      <c r="CJ108" s="118">
        <f t="shared" si="104"/>
        <v>179</v>
      </c>
      <c r="CK108" s="118">
        <f t="shared" si="105"/>
        <v>206</v>
      </c>
      <c r="CL108" s="118">
        <f t="shared" si="106"/>
        <v>219</v>
      </c>
      <c r="CM108" s="118">
        <f t="shared" si="107"/>
        <v>262</v>
      </c>
      <c r="CN108" s="118">
        <f t="shared" si="108"/>
        <v>306</v>
      </c>
      <c r="CO108" s="118">
        <f t="shared" si="109"/>
        <v>339</v>
      </c>
      <c r="CP108" s="118">
        <f t="shared" si="110"/>
        <v>352</v>
      </c>
      <c r="CQ108" s="57">
        <f t="shared" si="111"/>
        <v>1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</row>
    <row r="109" spans="1:1026" s="2" customFormat="1" x14ac:dyDescent="0.2">
      <c r="A109" s="3" t="str">
        <f t="shared" si="84"/>
        <v>oprm_mouse_4DKL</v>
      </c>
      <c r="B109" s="3" t="s">
        <v>1113</v>
      </c>
      <c r="C109" s="3" t="s">
        <v>255</v>
      </c>
      <c r="D109" s="3" t="str">
        <f>IFERROR(MID(VLOOKUP($B109,Seqs!$A:$B,2,0),E109,1),"")</f>
        <v>M</v>
      </c>
      <c r="E109" s="3">
        <v>65</v>
      </c>
      <c r="F109" s="3" t="str">
        <f>IFERROR(MID(VLOOKUP($B109,Seqs!$A:$B,2,0),G109,1),"")</f>
        <v>Y</v>
      </c>
      <c r="G109" s="3">
        <v>96</v>
      </c>
      <c r="H109" s="3" t="str">
        <f>IFERROR(MID(VLOOKUP($B109,Seqs!$A:$B,2,0),I109,1),"")</f>
        <v>T</v>
      </c>
      <c r="I109" s="57">
        <v>97</v>
      </c>
      <c r="J109" s="3" t="str">
        <f>IFERROR(MID(VLOOKUP($B109,Seqs!$A:$B,2,0),K109,1),"")</f>
        <v>K</v>
      </c>
      <c r="K109" s="57">
        <v>100</v>
      </c>
      <c r="L109" s="3" t="str">
        <f>IFERROR(MID(VLOOKUP($B109,Seqs!$A:$B,2,0),M109,1),"")</f>
        <v>T</v>
      </c>
      <c r="M109" s="3">
        <v>101</v>
      </c>
      <c r="N109" s="3" t="str">
        <f>IFERROR(MID(VLOOKUP($B109,Seqs!$A:$B,2,0),O109,1),"")</f>
        <v>M</v>
      </c>
      <c r="O109" s="3">
        <v>130</v>
      </c>
      <c r="P109" s="3" t="str">
        <f>IFERROR(MID(VLOOKUP($B109,Seqs!$A:$B,2,0),Q109,1),"")</f>
        <v>T</v>
      </c>
      <c r="Q109" s="3">
        <v>132</v>
      </c>
      <c r="R109" s="3" t="str">
        <f>IFERROR(MID(VLOOKUP($B109,Seqs!$A:$B,2,0),S109,1),"")</f>
        <v>F</v>
      </c>
      <c r="S109" s="3">
        <v>135</v>
      </c>
      <c r="T109" s="3" t="str">
        <f>IFERROR(MID(VLOOKUP($B109,Seqs!$A:$B,2,0),U109,1),"")</f>
        <v>G</v>
      </c>
      <c r="U109" s="3">
        <v>136</v>
      </c>
      <c r="V109" s="3" t="str">
        <f>IFERROR(MID(VLOOKUP($B109,Seqs!$A:$B,2,0),W109,1),"")</f>
        <v>H</v>
      </c>
      <c r="W109" s="3">
        <v>171</v>
      </c>
      <c r="X109" s="3" t="str">
        <f>IFERROR(MID(VLOOKUP($B109,Seqs!$A:$B,2,0),Y109,1),"")</f>
        <v>P</v>
      </c>
      <c r="Y109" s="3">
        <v>172</v>
      </c>
      <c r="Z109" s="3" t="str">
        <f>IFERROR(MID(VLOOKUP($B109,Seqs!$A:$B,2,0),AA109,1),"")</f>
        <v>R</v>
      </c>
      <c r="AA109" s="3">
        <v>179</v>
      </c>
      <c r="AB109" s="3" t="str">
        <f>IFERROR(MID(VLOOKUP($B109,Seqs!$A:$B,2,0),AC109,1),"")</f>
        <v>P</v>
      </c>
      <c r="AC109" s="3">
        <v>181</v>
      </c>
      <c r="AD109" s="3" t="str">
        <f>IFERROR(MID(VLOOKUP($B109,Seqs!$A:$B,2,0),AE109,1),"")</f>
        <v>A</v>
      </c>
      <c r="AE109" s="3">
        <v>206</v>
      </c>
      <c r="AF109" s="3" t="str">
        <f>IFERROR(MID(VLOOKUP($B109,Seqs!$A:$B,2,0),AG109,1),"")</f>
        <v>C</v>
      </c>
      <c r="AG109" s="3">
        <v>217</v>
      </c>
      <c r="AH109" s="3" t="str">
        <f>IFERROR(MID(VLOOKUP($B109,Seqs!$A:$B,2,0),AI109,1),"")</f>
        <v>L</v>
      </c>
      <c r="AI109" s="3">
        <v>219</v>
      </c>
      <c r="AJ109" s="3" t="str">
        <f>IFERROR(MID(VLOOKUP($B109,Seqs!$A:$B,2,0),AK109,1),"")</f>
        <v>T</v>
      </c>
      <c r="AK109" s="3">
        <v>225</v>
      </c>
      <c r="AL109" s="3" t="str">
        <f>IFERROR(MID(VLOOKUP($B109,Seqs!$A:$B,2,0),AM109,1),"")</f>
        <v>L</v>
      </c>
      <c r="AM109" s="3">
        <v>257</v>
      </c>
      <c r="AN109" s="3" t="str">
        <f>IFERROR(MID(VLOOKUP($B109,Seqs!$A:$B,2,0),AO109,1),"")</f>
        <v>N</v>
      </c>
      <c r="AO109" s="3">
        <v>274</v>
      </c>
      <c r="AP109" s="3" t="str">
        <f>IFERROR(MID(VLOOKUP($B109,Seqs!$A:$B,2,0),AQ109,1),"")</f>
        <v>I</v>
      </c>
      <c r="AQ109" s="3">
        <v>306</v>
      </c>
      <c r="AR109" s="3" t="str">
        <f>IFERROR(MID(VLOOKUP($B109,Seqs!$A:$B,2,0),AS109,1),"")</f>
        <v>T</v>
      </c>
      <c r="AS109" s="3">
        <v>311</v>
      </c>
      <c r="AT109" s="3" t="str">
        <f>IFERROR(MID(VLOOKUP($B109,Seqs!$A:$B,2,0),AU109,1),"")</f>
        <v>L</v>
      </c>
      <c r="AU109" s="3">
        <v>339</v>
      </c>
      <c r="AV109" s="3" t="str">
        <f>IFERROR(MID(VLOOKUP($B109,Seqs!$A:$B,2,0),AW109,1),"")</f>
        <v>D</v>
      </c>
      <c r="AW109" s="3">
        <v>340</v>
      </c>
      <c r="AX109" s="3" t="str">
        <f>IFERROR(MID(VLOOKUP($B109,Seqs!$A:$B,2,0),AY109,1),"")</f>
        <v>I</v>
      </c>
      <c r="AY109" s="3">
        <v>352</v>
      </c>
      <c r="AZ109" s="90"/>
      <c r="BA109" s="124" t="str">
        <f>VLOOKUP(B109,Classification!A:D,2,0)</f>
        <v>A</v>
      </c>
      <c r="BB109" s="90"/>
      <c r="BC109" s="1"/>
      <c r="BD109" s="35" t="s">
        <v>1329</v>
      </c>
      <c r="BE109" s="57">
        <f t="shared" si="85"/>
        <v>251</v>
      </c>
      <c r="BF109" s="63" t="b">
        <f t="shared" si="86"/>
        <v>1</v>
      </c>
      <c r="BG109" s="116" t="s">
        <v>1513</v>
      </c>
      <c r="BH109" s="102" t="s">
        <v>1513</v>
      </c>
      <c r="BI109" s="102" t="s">
        <v>1513</v>
      </c>
      <c r="BJ109" s="102" t="s">
        <v>1513</v>
      </c>
      <c r="BK109" s="102" t="s">
        <v>1513</v>
      </c>
      <c r="BL109" s="102" t="s">
        <v>1513</v>
      </c>
      <c r="BM109" s="102" t="s">
        <v>1513</v>
      </c>
      <c r="BN109" s="102" t="s">
        <v>1513</v>
      </c>
      <c r="BO109" s="102" t="s">
        <v>1513</v>
      </c>
      <c r="BP109" s="102" t="s">
        <v>1513</v>
      </c>
      <c r="BQ109" s="102" t="s">
        <v>1513</v>
      </c>
      <c r="BR109" s="102" t="s">
        <v>1513</v>
      </c>
      <c r="BS109" s="116">
        <f t="shared" si="87"/>
        <v>65</v>
      </c>
      <c r="BT109" s="117">
        <f t="shared" si="88"/>
        <v>97</v>
      </c>
      <c r="BU109" s="118">
        <f t="shared" si="89"/>
        <v>101</v>
      </c>
      <c r="BV109" s="117">
        <f t="shared" si="90"/>
        <v>132</v>
      </c>
      <c r="BW109" s="118">
        <f t="shared" si="91"/>
        <v>136</v>
      </c>
      <c r="BX109" s="117">
        <f t="shared" si="92"/>
        <v>172</v>
      </c>
      <c r="BY109" s="118">
        <f t="shared" si="93"/>
        <v>181</v>
      </c>
      <c r="BZ109" s="117">
        <f t="shared" si="94"/>
        <v>217</v>
      </c>
      <c r="CA109" s="118">
        <f t="shared" si="95"/>
        <v>225</v>
      </c>
      <c r="CB109" s="117">
        <f t="shared" si="96"/>
        <v>274</v>
      </c>
      <c r="CC109" s="118">
        <f t="shared" si="97"/>
        <v>311</v>
      </c>
      <c r="CD109" s="117">
        <f t="shared" si="98"/>
        <v>340</v>
      </c>
      <c r="CE109" s="116">
        <f t="shared" si="99"/>
        <v>96</v>
      </c>
      <c r="CF109" s="117">
        <f t="shared" si="100"/>
        <v>100</v>
      </c>
      <c r="CG109" s="118">
        <f t="shared" si="101"/>
        <v>130</v>
      </c>
      <c r="CH109" s="118">
        <f t="shared" si="102"/>
        <v>135</v>
      </c>
      <c r="CI109" s="118">
        <f t="shared" si="103"/>
        <v>171</v>
      </c>
      <c r="CJ109" s="118">
        <f t="shared" si="104"/>
        <v>179</v>
      </c>
      <c r="CK109" s="118">
        <f t="shared" si="105"/>
        <v>206</v>
      </c>
      <c r="CL109" s="118">
        <f t="shared" si="106"/>
        <v>219</v>
      </c>
      <c r="CM109" s="118">
        <f t="shared" si="107"/>
        <v>257</v>
      </c>
      <c r="CN109" s="118">
        <f t="shared" si="108"/>
        <v>306</v>
      </c>
      <c r="CO109" s="118">
        <f t="shared" si="109"/>
        <v>339</v>
      </c>
      <c r="CP109" s="118">
        <f t="shared" si="110"/>
        <v>352</v>
      </c>
      <c r="CQ109" s="57">
        <f t="shared" si="111"/>
        <v>1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</row>
    <row r="110" spans="1:1026" s="2" customFormat="1" x14ac:dyDescent="0.2">
      <c r="A110" s="3" t="str">
        <f t="shared" si="84"/>
        <v>oprm_mouse_5C1M</v>
      </c>
      <c r="B110" s="3" t="s">
        <v>1113</v>
      </c>
      <c r="C110" s="3" t="s">
        <v>275</v>
      </c>
      <c r="D110" s="3" t="str">
        <f>IFERROR(MID(VLOOKUP($B110,Seqs!$A:$B,2,0),E110,1),"")</f>
        <v>M</v>
      </c>
      <c r="E110" s="3">
        <v>65</v>
      </c>
      <c r="F110" s="3" t="str">
        <f>IFERROR(MID(VLOOKUP($B110,Seqs!$A:$B,2,0),G110,1),"")</f>
        <v>Y</v>
      </c>
      <c r="G110" s="3">
        <v>96</v>
      </c>
      <c r="H110" s="3" t="str">
        <f>IFERROR(MID(VLOOKUP($B110,Seqs!$A:$B,2,0),I110,1),"")</f>
        <v/>
      </c>
      <c r="I110" s="57" t="s">
        <v>129</v>
      </c>
      <c r="J110" s="3" t="str">
        <f>IFERROR(MID(VLOOKUP($B110,Seqs!$A:$B,2,0),K110,1),"")</f>
        <v/>
      </c>
      <c r="K110" s="57" t="s">
        <v>129</v>
      </c>
      <c r="L110" s="3" t="str">
        <f>IFERROR(MID(VLOOKUP($B110,Seqs!$A:$B,2,0),M110,1),"")</f>
        <v>T</v>
      </c>
      <c r="M110" s="3">
        <v>101</v>
      </c>
      <c r="N110" s="3" t="str">
        <f>IFERROR(MID(VLOOKUP($B110,Seqs!$A:$B,2,0),O110,1),"")</f>
        <v>M</v>
      </c>
      <c r="O110" s="3">
        <v>130</v>
      </c>
      <c r="P110" s="3" t="str">
        <f>IFERROR(MID(VLOOKUP($B110,Seqs!$A:$B,2,0),Q110,1),"")</f>
        <v>T</v>
      </c>
      <c r="Q110" s="3">
        <v>132</v>
      </c>
      <c r="R110" s="3" t="str">
        <f>IFERROR(MID(VLOOKUP($B110,Seqs!$A:$B,2,0),S110,1),"")</f>
        <v>F</v>
      </c>
      <c r="S110" s="3">
        <v>135</v>
      </c>
      <c r="T110" s="3" t="str">
        <f>IFERROR(MID(VLOOKUP($B110,Seqs!$A:$B,2,0),U110,1),"")</f>
        <v>G</v>
      </c>
      <c r="U110" s="3">
        <v>136</v>
      </c>
      <c r="V110" s="3" t="str">
        <f>IFERROR(MID(VLOOKUP($B110,Seqs!$A:$B,2,0),W110,1),"")</f>
        <v>H</v>
      </c>
      <c r="W110" s="3">
        <v>171</v>
      </c>
      <c r="X110" s="3" t="str">
        <f>IFERROR(MID(VLOOKUP($B110,Seqs!$A:$B,2,0),Y110,1),"")</f>
        <v>P</v>
      </c>
      <c r="Y110" s="3">
        <v>172</v>
      </c>
      <c r="Z110" s="3" t="str">
        <f>IFERROR(MID(VLOOKUP($B110,Seqs!$A:$B,2,0),AA110,1),"")</f>
        <v>R</v>
      </c>
      <c r="AA110" s="3">
        <v>179</v>
      </c>
      <c r="AB110" s="3" t="str">
        <f>IFERROR(MID(VLOOKUP($B110,Seqs!$A:$B,2,0),AC110,1),"")</f>
        <v>P</v>
      </c>
      <c r="AC110" s="3">
        <v>181</v>
      </c>
      <c r="AD110" s="3" t="str">
        <f>IFERROR(MID(VLOOKUP($B110,Seqs!$A:$B,2,0),AE110,1),"")</f>
        <v>A</v>
      </c>
      <c r="AE110" s="3">
        <v>206</v>
      </c>
      <c r="AF110" s="3" t="str">
        <f>IFERROR(MID(VLOOKUP($B110,Seqs!$A:$B,2,0),AG110,1),"")</f>
        <v>C</v>
      </c>
      <c r="AG110" s="3">
        <v>217</v>
      </c>
      <c r="AH110" s="3" t="str">
        <f>IFERROR(MID(VLOOKUP($B110,Seqs!$A:$B,2,0),AI110,1),"")</f>
        <v>L</v>
      </c>
      <c r="AI110" s="3">
        <v>219</v>
      </c>
      <c r="AJ110" s="3" t="str">
        <f>IFERROR(MID(VLOOKUP($B110,Seqs!$A:$B,2,0),AK110,1),"")</f>
        <v>T</v>
      </c>
      <c r="AK110" s="3">
        <v>225</v>
      </c>
      <c r="AL110" s="3" t="str">
        <f>IFERROR(MID(VLOOKUP($B110,Seqs!$A:$B,2,0),AM110,1),"")</f>
        <v>V</v>
      </c>
      <c r="AM110" s="3">
        <v>262</v>
      </c>
      <c r="AN110" s="3" t="str">
        <f>IFERROR(MID(VLOOKUP($B110,Seqs!$A:$B,2,0),AO110,1),"")</f>
        <v>S</v>
      </c>
      <c r="AO110" s="3">
        <v>268</v>
      </c>
      <c r="AP110" s="3" t="str">
        <f>IFERROR(MID(VLOOKUP($B110,Seqs!$A:$B,2,0),AQ110,1),"")</f>
        <v>I</v>
      </c>
      <c r="AQ110" s="3">
        <v>306</v>
      </c>
      <c r="AR110" s="3" t="str">
        <f>IFERROR(MID(VLOOKUP($B110,Seqs!$A:$B,2,0),AS110,1),"")</f>
        <v>T</v>
      </c>
      <c r="AS110" s="3">
        <v>311</v>
      </c>
      <c r="AT110" s="3" t="str">
        <f>IFERROR(MID(VLOOKUP($B110,Seqs!$A:$B,2,0),AU110,1),"")</f>
        <v>P</v>
      </c>
      <c r="AU110" s="3">
        <v>333</v>
      </c>
      <c r="AV110" s="3" t="str">
        <f>IFERROR(MID(VLOOKUP($B110,Seqs!$A:$B,2,0),AW110,1),"")</f>
        <v/>
      </c>
      <c r="AW110" s="3" t="s">
        <v>129</v>
      </c>
      <c r="AX110" s="3" t="str">
        <f>IFERROR(MID(VLOOKUP($B110,Seqs!$A:$B,2,0),AY110,1),"")</f>
        <v/>
      </c>
      <c r="AY110" s="3" t="s">
        <v>129</v>
      </c>
      <c r="AZ110" s="90"/>
      <c r="BA110" s="124" t="str">
        <f>VLOOKUP(B110,Classification!A:D,2,0)</f>
        <v>A</v>
      </c>
      <c r="BB110" s="90"/>
      <c r="BC110" s="1"/>
      <c r="BD110" s="4"/>
      <c r="BE110" s="57">
        <f t="shared" si="85"/>
        <v>241</v>
      </c>
      <c r="BF110" s="63" t="b">
        <f t="shared" si="86"/>
        <v>1</v>
      </c>
      <c r="BG110" s="116" t="s">
        <v>1513</v>
      </c>
      <c r="BH110" s="102" t="s">
        <v>1513</v>
      </c>
      <c r="BI110" s="102" t="s">
        <v>1513</v>
      </c>
      <c r="BJ110" s="102" t="s">
        <v>1513</v>
      </c>
      <c r="BK110" s="102" t="s">
        <v>1513</v>
      </c>
      <c r="BL110" s="102" t="s">
        <v>1513</v>
      </c>
      <c r="BM110" s="102" t="s">
        <v>1513</v>
      </c>
      <c r="BN110" s="102" t="s">
        <v>1513</v>
      </c>
      <c r="BO110" s="102" t="s">
        <v>1513</v>
      </c>
      <c r="BP110" s="102" t="s">
        <v>1513</v>
      </c>
      <c r="BQ110" s="102" t="s">
        <v>1513</v>
      </c>
      <c r="BR110" s="102" t="s">
        <v>1513</v>
      </c>
      <c r="BS110" s="116">
        <f t="shared" si="87"/>
        <v>65</v>
      </c>
      <c r="BT110" s="117" t="str">
        <f t="shared" si="88"/>
        <v>-</v>
      </c>
      <c r="BU110" s="118">
        <f t="shared" si="89"/>
        <v>101</v>
      </c>
      <c r="BV110" s="117">
        <f t="shared" si="90"/>
        <v>132</v>
      </c>
      <c r="BW110" s="118">
        <f t="shared" si="91"/>
        <v>136</v>
      </c>
      <c r="BX110" s="117">
        <f t="shared" si="92"/>
        <v>172</v>
      </c>
      <c r="BY110" s="118">
        <f t="shared" si="93"/>
        <v>181</v>
      </c>
      <c r="BZ110" s="117">
        <f t="shared" si="94"/>
        <v>217</v>
      </c>
      <c r="CA110" s="118">
        <f t="shared" si="95"/>
        <v>225</v>
      </c>
      <c r="CB110" s="117">
        <f t="shared" si="96"/>
        <v>268</v>
      </c>
      <c r="CC110" s="118">
        <f t="shared" si="97"/>
        <v>311</v>
      </c>
      <c r="CD110" s="117" t="str">
        <f t="shared" si="98"/>
        <v>-</v>
      </c>
      <c r="CE110" s="116">
        <f t="shared" si="99"/>
        <v>96</v>
      </c>
      <c r="CF110" s="117" t="str">
        <f t="shared" si="100"/>
        <v>-</v>
      </c>
      <c r="CG110" s="118">
        <f t="shared" si="101"/>
        <v>130</v>
      </c>
      <c r="CH110" s="118">
        <f t="shared" si="102"/>
        <v>135</v>
      </c>
      <c r="CI110" s="118">
        <f t="shared" si="103"/>
        <v>171</v>
      </c>
      <c r="CJ110" s="118">
        <f t="shared" si="104"/>
        <v>179</v>
      </c>
      <c r="CK110" s="118">
        <f t="shared" si="105"/>
        <v>206</v>
      </c>
      <c r="CL110" s="118">
        <f t="shared" si="106"/>
        <v>219</v>
      </c>
      <c r="CM110" s="118">
        <f t="shared" si="107"/>
        <v>262</v>
      </c>
      <c r="CN110" s="118">
        <f t="shared" si="108"/>
        <v>306</v>
      </c>
      <c r="CO110" s="118">
        <f t="shared" si="109"/>
        <v>333</v>
      </c>
      <c r="CP110" s="118" t="str">
        <f t="shared" si="110"/>
        <v>-</v>
      </c>
      <c r="CQ110" s="57" t="e">
        <f t="shared" si="111"/>
        <v>#VALUE!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</row>
    <row r="111" spans="1:1026" s="2" customFormat="1" x14ac:dyDescent="0.2">
      <c r="A111" s="3" t="str">
        <f t="shared" si="84"/>
        <v>oprx_human__wt</v>
      </c>
      <c r="B111" s="3" t="s">
        <v>1392</v>
      </c>
      <c r="C111" s="3" t="s">
        <v>293</v>
      </c>
      <c r="D111" s="3" t="str">
        <f>IFERROR(MID(VLOOKUP($B111,Seqs!$A:$B,2,0),E111,1),"")</f>
        <v>L</v>
      </c>
      <c r="E111" s="3">
        <v>48</v>
      </c>
      <c r="F111" s="3" t="str">
        <f>IFERROR(MID(VLOOKUP($B111,Seqs!$A:$B,2,0),G111,1),"")</f>
        <v>H</v>
      </c>
      <c r="G111" s="3">
        <v>79</v>
      </c>
      <c r="H111" s="3" t="str">
        <f>IFERROR(MID(VLOOKUP($B111,Seqs!$A:$B,2,0),I111,1),"")</f>
        <v>T</v>
      </c>
      <c r="I111" s="57">
        <v>80</v>
      </c>
      <c r="J111" s="3" t="str">
        <f>IFERROR(MID(VLOOKUP($B111,Seqs!$A:$B,2,0),K111,1),"")</f>
        <v>K</v>
      </c>
      <c r="K111" s="57">
        <v>83</v>
      </c>
      <c r="L111" s="3" t="str">
        <f>IFERROR(MID(VLOOKUP($B111,Seqs!$A:$B,2,0),M111,1),"")</f>
        <v>T</v>
      </c>
      <c r="M111" s="3">
        <v>84</v>
      </c>
      <c r="N111" s="3" t="str">
        <f>IFERROR(MID(VLOOKUP($B111,Seqs!$A:$B,2,0),O111,1),"")</f>
        <v>L</v>
      </c>
      <c r="O111" s="3">
        <v>113</v>
      </c>
      <c r="P111" s="3" t="str">
        <f>IFERROR(MID(VLOOKUP($B111,Seqs!$A:$B,2,0),Q111,1),"")</f>
        <v>F</v>
      </c>
      <c r="Q111" s="3">
        <v>115</v>
      </c>
      <c r="R111" s="3" t="str">
        <f>IFERROR(MID(VLOOKUP($B111,Seqs!$A:$B,2,0),S111,1),"")</f>
        <v>F</v>
      </c>
      <c r="S111" s="3">
        <v>118</v>
      </c>
      <c r="T111" s="3" t="str">
        <f>IFERROR(MID(VLOOKUP($B111,Seqs!$A:$B,2,0),U111,1),"")</f>
        <v>G</v>
      </c>
      <c r="U111" s="3">
        <v>119</v>
      </c>
      <c r="V111" s="3" t="str">
        <f>IFERROR(MID(VLOOKUP($B111,Seqs!$A:$B,2,0),W111,1),"")</f>
        <v>H</v>
      </c>
      <c r="W111" s="3">
        <v>154</v>
      </c>
      <c r="X111" s="3" t="str">
        <f>IFERROR(MID(VLOOKUP($B111,Seqs!$A:$B,2,0),Y111,1),"")</f>
        <v>P</v>
      </c>
      <c r="Y111" s="3">
        <v>155</v>
      </c>
      <c r="Z111" s="3" t="str">
        <f>IFERROR(MID(VLOOKUP($B111,Seqs!$A:$B,2,0),AA111,1),"")</f>
        <v>R</v>
      </c>
      <c r="AA111" s="3">
        <v>162</v>
      </c>
      <c r="AB111" s="3" t="str">
        <f>IFERROR(MID(VLOOKUP($B111,Seqs!$A:$B,2,0),AC111,1),"")</f>
        <v>S</v>
      </c>
      <c r="AC111" s="3">
        <v>164</v>
      </c>
      <c r="AD111" s="3" t="str">
        <f>IFERROR(MID(VLOOKUP($B111,Seqs!$A:$B,2,0),AE111,1),"")</f>
        <v>G</v>
      </c>
      <c r="AE111" s="3">
        <v>189</v>
      </c>
      <c r="AF111" s="3" t="str">
        <f>IFERROR(MID(VLOOKUP($B111,Seqs!$A:$B,2,0),AG111,1),"")</f>
        <v>C</v>
      </c>
      <c r="AG111" s="3">
        <v>200</v>
      </c>
      <c r="AH111" s="3" t="str">
        <f>IFERROR(MID(VLOOKUP($B111,Seqs!$A:$B,2,0),AI111,1),"")</f>
        <v>V</v>
      </c>
      <c r="AI111" s="3">
        <v>202</v>
      </c>
      <c r="AJ111" s="3" t="str">
        <f>IFERROR(MID(VLOOKUP($B111,Seqs!$A:$B,2,0),AK111,1),"")</f>
        <v>Q</v>
      </c>
      <c r="AK111" s="3">
        <v>208</v>
      </c>
      <c r="AL111" s="3" t="str">
        <f>IFERROR(MID(VLOOKUP($B111,Seqs!$A:$B,2,0),AM111,1),"")</f>
        <v>V</v>
      </c>
      <c r="AM111" s="3">
        <v>245</v>
      </c>
      <c r="AN111" s="3" t="str">
        <f>IFERROR(MID(VLOOKUP($B111,Seqs!$A:$B,2,0),AO111,1),"")</f>
        <v>S</v>
      </c>
      <c r="AO111" s="3">
        <v>251</v>
      </c>
      <c r="AP111" s="3" t="str">
        <f>IFERROR(MID(VLOOKUP($B111,Seqs!$A:$B,2,0),AQ111,1),"")</f>
        <v>G</v>
      </c>
      <c r="AQ111" s="3">
        <v>289</v>
      </c>
      <c r="AR111" s="3" t="str">
        <f>IFERROR(MID(VLOOKUP($B111,Seqs!$A:$B,2,0),AS111,1),"")</f>
        <v>S</v>
      </c>
      <c r="AS111" s="3">
        <v>294</v>
      </c>
      <c r="AT111" s="3" t="str">
        <f>IFERROR(MID(VLOOKUP($B111,Seqs!$A:$B,2,0),AU111,1),"")</f>
        <v>L</v>
      </c>
      <c r="AU111" s="3">
        <v>322</v>
      </c>
      <c r="AV111" s="3" t="str">
        <f>IFERROR(MID(VLOOKUP($B111,Seqs!$A:$B,2,0),AW111,1),"")</f>
        <v>D</v>
      </c>
      <c r="AW111" s="3">
        <v>323</v>
      </c>
      <c r="AX111" s="3" t="str">
        <f>IFERROR(MID(VLOOKUP($B111,Seqs!$A:$B,2,0),AY111,1),"")</f>
        <v>C</v>
      </c>
      <c r="AY111" s="3">
        <v>335</v>
      </c>
      <c r="AZ111" s="90"/>
      <c r="BA111" s="124" t="str">
        <f>VLOOKUP(B111,Classification!A:D,2,0)</f>
        <v>A</v>
      </c>
      <c r="BB111" s="90"/>
      <c r="BC111" s="1"/>
      <c r="BD111" s="101">
        <f>S111-Q111+1</f>
        <v>4</v>
      </c>
      <c r="BE111" s="57">
        <f t="shared" si="85"/>
        <v>262</v>
      </c>
      <c r="BF111" s="63" t="b">
        <f t="shared" si="86"/>
        <v>1</v>
      </c>
      <c r="BG111" s="116" t="s">
        <v>1513</v>
      </c>
      <c r="BH111" s="102" t="s">
        <v>1513</v>
      </c>
      <c r="BI111" s="102" t="s">
        <v>1513</v>
      </c>
      <c r="BJ111" s="102" t="s">
        <v>1513</v>
      </c>
      <c r="BK111" s="102" t="s">
        <v>1513</v>
      </c>
      <c r="BL111" s="102" t="s">
        <v>1513</v>
      </c>
      <c r="BM111" s="102" t="s">
        <v>1513</v>
      </c>
      <c r="BN111" s="102" t="s">
        <v>1513</v>
      </c>
      <c r="BO111" s="102" t="s">
        <v>1513</v>
      </c>
      <c r="BP111" s="102" t="s">
        <v>1513</v>
      </c>
      <c r="BQ111" s="102" t="s">
        <v>1513</v>
      </c>
      <c r="BR111" s="102" t="s">
        <v>1513</v>
      </c>
      <c r="BS111" s="116">
        <f t="shared" si="87"/>
        <v>48</v>
      </c>
      <c r="BT111" s="117">
        <f t="shared" si="88"/>
        <v>80</v>
      </c>
      <c r="BU111" s="118">
        <f t="shared" si="89"/>
        <v>84</v>
      </c>
      <c r="BV111" s="117">
        <f t="shared" si="90"/>
        <v>115</v>
      </c>
      <c r="BW111" s="118">
        <f t="shared" si="91"/>
        <v>119</v>
      </c>
      <c r="BX111" s="117">
        <f t="shared" si="92"/>
        <v>155</v>
      </c>
      <c r="BY111" s="118">
        <f t="shared" si="93"/>
        <v>164</v>
      </c>
      <c r="BZ111" s="117">
        <f t="shared" si="94"/>
        <v>200</v>
      </c>
      <c r="CA111" s="118">
        <f t="shared" si="95"/>
        <v>208</v>
      </c>
      <c r="CB111" s="117">
        <f t="shared" si="96"/>
        <v>251</v>
      </c>
      <c r="CC111" s="118">
        <f t="shared" si="97"/>
        <v>294</v>
      </c>
      <c r="CD111" s="117">
        <f t="shared" si="98"/>
        <v>323</v>
      </c>
      <c r="CE111" s="116">
        <f t="shared" si="99"/>
        <v>79</v>
      </c>
      <c r="CF111" s="117">
        <f t="shared" si="100"/>
        <v>83</v>
      </c>
      <c r="CG111" s="118">
        <f t="shared" si="101"/>
        <v>113</v>
      </c>
      <c r="CH111" s="118">
        <f t="shared" si="102"/>
        <v>118</v>
      </c>
      <c r="CI111" s="118">
        <f t="shared" si="103"/>
        <v>154</v>
      </c>
      <c r="CJ111" s="118">
        <f t="shared" si="104"/>
        <v>162</v>
      </c>
      <c r="CK111" s="118">
        <f t="shared" si="105"/>
        <v>189</v>
      </c>
      <c r="CL111" s="118">
        <f t="shared" si="106"/>
        <v>202</v>
      </c>
      <c r="CM111" s="118">
        <f t="shared" si="107"/>
        <v>245</v>
      </c>
      <c r="CN111" s="118">
        <f t="shared" si="108"/>
        <v>289</v>
      </c>
      <c r="CO111" s="118">
        <f t="shared" si="109"/>
        <v>322</v>
      </c>
      <c r="CP111" s="118">
        <f t="shared" si="110"/>
        <v>335</v>
      </c>
      <c r="CQ111" s="57">
        <f t="shared" si="111"/>
        <v>1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</row>
    <row r="112" spans="1:1026" x14ac:dyDescent="0.2">
      <c r="A112" s="3" t="str">
        <f t="shared" si="84"/>
        <v>oprx_human_4EA3</v>
      </c>
      <c r="B112" s="3" t="s">
        <v>1392</v>
      </c>
      <c r="C112" s="3" t="s">
        <v>257</v>
      </c>
      <c r="D112" s="3" t="str">
        <f>IFERROR(MID(VLOOKUP($B112,Seqs!$A:$B,2,0),E112,1),"")</f>
        <v>L</v>
      </c>
      <c r="E112" s="3">
        <v>48</v>
      </c>
      <c r="F112" s="3" t="str">
        <f>IFERROR(MID(VLOOKUP($B112,Seqs!$A:$B,2,0),G112,1),"")</f>
        <v>H</v>
      </c>
      <c r="G112" s="3">
        <v>79</v>
      </c>
      <c r="H112" s="3" t="str">
        <f>IFERROR(MID(VLOOKUP($B112,Seqs!$A:$B,2,0),I112,1),"")</f>
        <v/>
      </c>
      <c r="I112" s="57" t="s">
        <v>129</v>
      </c>
      <c r="J112" s="3" t="str">
        <f>IFERROR(MID(VLOOKUP($B112,Seqs!$A:$B,2,0),K112,1),"")</f>
        <v/>
      </c>
      <c r="K112" s="57" t="s">
        <v>129</v>
      </c>
      <c r="L112" s="3" t="str">
        <f>IFERROR(MID(VLOOKUP($B112,Seqs!$A:$B,2,0),M112,1),"")</f>
        <v>T</v>
      </c>
      <c r="M112" s="3">
        <v>84</v>
      </c>
      <c r="N112" s="3" t="str">
        <f>IFERROR(MID(VLOOKUP($B112,Seqs!$A:$B,2,0),O112,1),"")</f>
        <v>L</v>
      </c>
      <c r="O112" s="3">
        <v>113</v>
      </c>
      <c r="P112" s="3" t="str">
        <f>IFERROR(MID(VLOOKUP($B112,Seqs!$A:$B,2,0),Q112,1),"")</f>
        <v>F</v>
      </c>
      <c r="Q112" s="3">
        <v>115</v>
      </c>
      <c r="R112" s="3" t="str">
        <f>IFERROR(MID(VLOOKUP($B112,Seqs!$A:$B,2,0),S112,1),"")</f>
        <v>F</v>
      </c>
      <c r="S112" s="3">
        <v>118</v>
      </c>
      <c r="T112" s="3" t="str">
        <f>IFERROR(MID(VLOOKUP($B112,Seqs!$A:$B,2,0),U112,1),"")</f>
        <v>G</v>
      </c>
      <c r="U112" s="3">
        <v>119</v>
      </c>
      <c r="V112" s="3" t="str">
        <f>IFERROR(MID(VLOOKUP($B112,Seqs!$A:$B,2,0),W112,1),"")</f>
        <v>H</v>
      </c>
      <c r="W112" s="3">
        <v>154</v>
      </c>
      <c r="X112" s="3" t="str">
        <f>IFERROR(MID(VLOOKUP($B112,Seqs!$A:$B,2,0),Y112,1),"")</f>
        <v/>
      </c>
      <c r="Y112" s="3" t="s">
        <v>129</v>
      </c>
      <c r="Z112" s="3" t="str">
        <f>IFERROR(MID(VLOOKUP($B112,Seqs!$A:$B,2,0),AA112,1),"")</f>
        <v/>
      </c>
      <c r="AA112" s="3" t="s">
        <v>129</v>
      </c>
      <c r="AB112" s="3" t="str">
        <f>IFERROR(MID(VLOOKUP($B112,Seqs!$A:$B,2,0),AC112,1),"")</f>
        <v>S</v>
      </c>
      <c r="AC112" s="3">
        <v>164</v>
      </c>
      <c r="AD112" s="3" t="str">
        <f>IFERROR(MID(VLOOKUP($B112,Seqs!$A:$B,2,0),AE112,1),"")</f>
        <v>G</v>
      </c>
      <c r="AE112" s="3">
        <v>189</v>
      </c>
      <c r="AF112" s="3" t="str">
        <f>IFERROR(MID(VLOOKUP($B112,Seqs!$A:$B,2,0),AG112,1),"")</f>
        <v>C</v>
      </c>
      <c r="AG112" s="3">
        <v>200</v>
      </c>
      <c r="AH112" s="3" t="str">
        <f>IFERROR(MID(VLOOKUP($B112,Seqs!$A:$B,2,0),AI112,1),"")</f>
        <v>V</v>
      </c>
      <c r="AI112" s="3">
        <v>202</v>
      </c>
      <c r="AJ112" s="3" t="str">
        <f>IFERROR(MID(VLOOKUP($B112,Seqs!$A:$B,2,0),AK112,1),"")</f>
        <v>Q</v>
      </c>
      <c r="AK112" s="3">
        <v>208</v>
      </c>
      <c r="AL112" s="3" t="str">
        <f>IFERROR(MID(VLOOKUP($B112,Seqs!$A:$B,2,0),AM112,1),"")</f>
        <v>L</v>
      </c>
      <c r="AM112" s="3">
        <v>242</v>
      </c>
      <c r="AN112" s="3" t="str">
        <f>IFERROR(MID(VLOOKUP($B112,Seqs!$A:$B,2,0),AO112,1),"")</f>
        <v>S</v>
      </c>
      <c r="AO112" s="127">
        <v>251</v>
      </c>
      <c r="AP112" s="3" t="str">
        <f>IFERROR(MID(VLOOKUP($B112,Seqs!$A:$B,2,0),AQ112,1),"")</f>
        <v>G</v>
      </c>
      <c r="AQ112" s="3">
        <v>289</v>
      </c>
      <c r="AR112" s="3" t="str">
        <f>IFERROR(MID(VLOOKUP($B112,Seqs!$A:$B,2,0),AS112,1),"")</f>
        <v>S</v>
      </c>
      <c r="AS112" s="3">
        <v>294</v>
      </c>
      <c r="AT112" s="3" t="str">
        <f>IFERROR(MID(VLOOKUP($B112,Seqs!$A:$B,2,0),AU112,1),"")</f>
        <v>L</v>
      </c>
      <c r="AU112" s="3">
        <v>322</v>
      </c>
      <c r="AV112" s="3" t="str">
        <f>IFERROR(MID(VLOOKUP($B112,Seqs!$A:$B,2,0),AW112,1),"")</f>
        <v>D</v>
      </c>
      <c r="AW112" s="3">
        <v>323</v>
      </c>
      <c r="AX112" s="3" t="str">
        <f>IFERROR(MID(VLOOKUP($B112,Seqs!$A:$B,2,0),AY112,1),"")</f>
        <v>R</v>
      </c>
      <c r="AY112" s="3">
        <v>331</v>
      </c>
      <c r="BA112" s="124" t="str">
        <f>VLOOKUP(B112,Classification!A:D,2,0)</f>
        <v>A</v>
      </c>
      <c r="BC112" s="1"/>
      <c r="BD112" s="4"/>
      <c r="BE112" s="57">
        <f t="shared" si="85"/>
        <v>245</v>
      </c>
      <c r="BF112" s="63" t="b">
        <f t="shared" si="86"/>
        <v>1</v>
      </c>
      <c r="BG112" s="116" t="s">
        <v>1513</v>
      </c>
      <c r="BH112" s="102" t="s">
        <v>1513</v>
      </c>
      <c r="BI112" s="102" t="s">
        <v>1513</v>
      </c>
      <c r="BJ112" s="102" t="s">
        <v>1513</v>
      </c>
      <c r="BK112" s="102" t="s">
        <v>1513</v>
      </c>
      <c r="BL112" s="102" t="s">
        <v>1513</v>
      </c>
      <c r="BM112" s="102" t="s">
        <v>1513</v>
      </c>
      <c r="BN112" s="102" t="s">
        <v>1513</v>
      </c>
      <c r="BO112" s="102" t="s">
        <v>1513</v>
      </c>
      <c r="BP112" s="102" t="s">
        <v>1513</v>
      </c>
      <c r="BQ112" s="102" t="s">
        <v>1513</v>
      </c>
      <c r="BR112" s="102" t="s">
        <v>1513</v>
      </c>
      <c r="BS112" s="116">
        <f t="shared" si="87"/>
        <v>48</v>
      </c>
      <c r="BT112" s="117" t="str">
        <f t="shared" si="88"/>
        <v>-</v>
      </c>
      <c r="BU112" s="118">
        <f t="shared" si="89"/>
        <v>84</v>
      </c>
      <c r="BV112" s="117">
        <f t="shared" si="90"/>
        <v>115</v>
      </c>
      <c r="BW112" s="118">
        <f t="shared" si="91"/>
        <v>119</v>
      </c>
      <c r="BX112" s="117" t="str">
        <f t="shared" si="92"/>
        <v>-</v>
      </c>
      <c r="BY112" s="118">
        <f t="shared" si="93"/>
        <v>164</v>
      </c>
      <c r="BZ112" s="117">
        <f t="shared" si="94"/>
        <v>200</v>
      </c>
      <c r="CA112" s="118">
        <f t="shared" si="95"/>
        <v>208</v>
      </c>
      <c r="CB112" s="117">
        <f t="shared" si="96"/>
        <v>251</v>
      </c>
      <c r="CC112" s="118">
        <f t="shared" si="97"/>
        <v>294</v>
      </c>
      <c r="CD112" s="117">
        <f t="shared" si="98"/>
        <v>323</v>
      </c>
      <c r="CE112" s="116">
        <f t="shared" si="99"/>
        <v>79</v>
      </c>
      <c r="CF112" s="117" t="str">
        <f t="shared" si="100"/>
        <v>-</v>
      </c>
      <c r="CG112" s="118">
        <f t="shared" si="101"/>
        <v>113</v>
      </c>
      <c r="CH112" s="118">
        <f t="shared" si="102"/>
        <v>118</v>
      </c>
      <c r="CI112" s="118">
        <f t="shared" si="103"/>
        <v>154</v>
      </c>
      <c r="CJ112" s="118" t="str">
        <f t="shared" si="104"/>
        <v>-</v>
      </c>
      <c r="CK112" s="118">
        <f t="shared" si="105"/>
        <v>189</v>
      </c>
      <c r="CL112" s="118">
        <f t="shared" si="106"/>
        <v>202</v>
      </c>
      <c r="CM112" s="118">
        <f t="shared" si="107"/>
        <v>242</v>
      </c>
      <c r="CN112" s="118">
        <f t="shared" si="108"/>
        <v>289</v>
      </c>
      <c r="CO112" s="118">
        <f t="shared" si="109"/>
        <v>322</v>
      </c>
      <c r="CP112" s="118">
        <f t="shared" si="110"/>
        <v>331</v>
      </c>
      <c r="CQ112" s="57" t="e">
        <f t="shared" si="111"/>
        <v>#VALUE!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</row>
    <row r="113" spans="1:1026" x14ac:dyDescent="0.2">
      <c r="A113" s="3" t="str">
        <f t="shared" si="84"/>
        <v>oprx_human_5DHG</v>
      </c>
      <c r="B113" s="3" t="s">
        <v>1392</v>
      </c>
      <c r="C113" s="3" t="s">
        <v>1589</v>
      </c>
      <c r="D113" s="3" t="str">
        <f>IFERROR(MID(VLOOKUP($B113,Seqs!$A:$B,2,0),E113,1),"")</f>
        <v>L</v>
      </c>
      <c r="E113" s="3">
        <v>48</v>
      </c>
      <c r="F113" s="3" t="str">
        <f>IFERROR(MID(VLOOKUP($B113,Seqs!$A:$B,2,0),G113,1),"")</f>
        <v>H</v>
      </c>
      <c r="G113" s="3">
        <v>79</v>
      </c>
      <c r="H113" s="3" t="str">
        <f>IFERROR(MID(VLOOKUP($B113,Seqs!$A:$B,2,0),I113,1),"")</f>
        <v/>
      </c>
      <c r="I113" s="57" t="s">
        <v>129</v>
      </c>
      <c r="J113" s="3" t="str">
        <f>IFERROR(MID(VLOOKUP($B113,Seqs!$A:$B,2,0),K113,1),"")</f>
        <v/>
      </c>
      <c r="K113" s="57" t="s">
        <v>129</v>
      </c>
      <c r="L113" s="3" t="str">
        <f>IFERROR(MID(VLOOKUP($B113,Seqs!$A:$B,2,0),M113,1),"")</f>
        <v>T</v>
      </c>
      <c r="M113" s="3">
        <v>84</v>
      </c>
      <c r="N113" s="3" t="str">
        <f>IFERROR(MID(VLOOKUP($B113,Seqs!$A:$B,2,0),O113,1),"")</f>
        <v>L</v>
      </c>
      <c r="O113" s="3">
        <v>113</v>
      </c>
      <c r="P113" s="3" t="str">
        <f>IFERROR(MID(VLOOKUP($B113,Seqs!$A:$B,2,0),Q113,1),"")</f>
        <v>F</v>
      </c>
      <c r="Q113" s="3">
        <v>115</v>
      </c>
      <c r="R113" s="3" t="str">
        <f>IFERROR(MID(VLOOKUP($B113,Seqs!$A:$B,2,0),S113,1),"")</f>
        <v>F</v>
      </c>
      <c r="S113" s="3">
        <v>118</v>
      </c>
      <c r="T113" s="3" t="str">
        <f>IFERROR(MID(VLOOKUP($B113,Seqs!$A:$B,2,0),U113,1),"")</f>
        <v>G</v>
      </c>
      <c r="U113" s="3">
        <v>119</v>
      </c>
      <c r="V113" s="3" t="str">
        <f>IFERROR(MID(VLOOKUP($B113,Seqs!$A:$B,2,0),W113,1),"")</f>
        <v>H</v>
      </c>
      <c r="W113" s="3">
        <v>154</v>
      </c>
      <c r="X113" s="3" t="str">
        <f>IFERROR(MID(VLOOKUP($B113,Seqs!$A:$B,2,0),Y113,1),"")</f>
        <v/>
      </c>
      <c r="Y113" s="3" t="s">
        <v>129</v>
      </c>
      <c r="Z113" s="3" t="str">
        <f>IFERROR(MID(VLOOKUP($B113,Seqs!$A:$B,2,0),AA113,1),"")</f>
        <v/>
      </c>
      <c r="AA113" s="3" t="s">
        <v>129</v>
      </c>
      <c r="AB113" s="3" t="str">
        <f>IFERROR(MID(VLOOKUP($B113,Seqs!$A:$B,2,0),AC113,1),"")</f>
        <v>S</v>
      </c>
      <c r="AC113" s="3">
        <v>164</v>
      </c>
      <c r="AD113" s="3" t="str">
        <f>IFERROR(MID(VLOOKUP($B113,Seqs!$A:$B,2,0),AE113,1),"")</f>
        <v>G</v>
      </c>
      <c r="AE113" s="3">
        <v>189</v>
      </c>
      <c r="AF113" s="3" t="str">
        <f>IFERROR(MID(VLOOKUP($B113,Seqs!$A:$B,2,0),AG113,1),"")</f>
        <v>C</v>
      </c>
      <c r="AG113" s="3">
        <v>200</v>
      </c>
      <c r="AH113" s="3" t="str">
        <f>IFERROR(MID(VLOOKUP($B113,Seqs!$A:$B,2,0),AI113,1),"")</f>
        <v>V</v>
      </c>
      <c r="AI113" s="3">
        <v>202</v>
      </c>
      <c r="AJ113" s="3" t="str">
        <f>IFERROR(MID(VLOOKUP($B113,Seqs!$A:$B,2,0),AK113,1),"")</f>
        <v>Q</v>
      </c>
      <c r="AK113" s="3">
        <v>208</v>
      </c>
      <c r="AL113" s="3" t="str">
        <f>IFERROR(MID(VLOOKUP($B113,Seqs!$A:$B,2,0),AM113,1),"")</f>
        <v>L</v>
      </c>
      <c r="AM113" s="3">
        <v>242</v>
      </c>
      <c r="AN113" s="3" t="str">
        <f>IFERROR(MID(VLOOKUP($B113,Seqs!$A:$B,2,0),AO113,1),"")</f>
        <v>S</v>
      </c>
      <c r="AO113" s="127">
        <v>251</v>
      </c>
      <c r="AP113" s="3" t="str">
        <f>IFERROR(MID(VLOOKUP($B113,Seqs!$A:$B,2,0),AQ113,1),"")</f>
        <v>G</v>
      </c>
      <c r="AQ113" s="3">
        <v>289</v>
      </c>
      <c r="AR113" s="3" t="str">
        <f>IFERROR(MID(VLOOKUP($B113,Seqs!$A:$B,2,0),AS113,1),"")</f>
        <v>S</v>
      </c>
      <c r="AS113" s="3">
        <v>294</v>
      </c>
      <c r="AT113" s="3" t="str">
        <f>IFERROR(MID(VLOOKUP($B113,Seqs!$A:$B,2,0),AU113,1),"")</f>
        <v>L</v>
      </c>
      <c r="AU113" s="3">
        <v>322</v>
      </c>
      <c r="AV113" s="3" t="str">
        <f>IFERROR(MID(VLOOKUP($B113,Seqs!$A:$B,2,0),AW113,1),"")</f>
        <v>D</v>
      </c>
      <c r="AW113" s="3">
        <v>323</v>
      </c>
      <c r="AX113" s="3" t="str">
        <f>IFERROR(MID(VLOOKUP($B113,Seqs!$A:$B,2,0),AY113,1),"")</f>
        <v>R</v>
      </c>
      <c r="AY113" s="3">
        <v>331</v>
      </c>
      <c r="AZ113" s="90" t="s">
        <v>9</v>
      </c>
      <c r="BA113" s="124" t="str">
        <f>VLOOKUP(B113,Classification!A:D,2,0)</f>
        <v>A</v>
      </c>
      <c r="BB113" s="90" t="s">
        <v>1596</v>
      </c>
      <c r="BC113" s="1" t="s">
        <v>1597</v>
      </c>
      <c r="BD113" s="4"/>
      <c r="BE113" s="57">
        <f t="shared" si="85"/>
        <v>245</v>
      </c>
      <c r="BF113" s="63" t="b">
        <f t="shared" si="86"/>
        <v>1</v>
      </c>
      <c r="BG113" s="116" t="s">
        <v>1513</v>
      </c>
      <c r="BH113" s="102" t="s">
        <v>1513</v>
      </c>
      <c r="BI113" s="102" t="s">
        <v>1513</v>
      </c>
      <c r="BJ113" s="102" t="s">
        <v>1513</v>
      </c>
      <c r="BK113" s="102" t="s">
        <v>1513</v>
      </c>
      <c r="BL113" s="102" t="s">
        <v>1513</v>
      </c>
      <c r="BM113" s="102" t="s">
        <v>1513</v>
      </c>
      <c r="BN113" s="102" t="s">
        <v>1513</v>
      </c>
      <c r="BO113" s="102" t="s">
        <v>1513</v>
      </c>
      <c r="BP113" s="102" t="s">
        <v>1513</v>
      </c>
      <c r="BQ113" s="102" t="s">
        <v>1513</v>
      </c>
      <c r="BR113" s="102" t="s">
        <v>1513</v>
      </c>
      <c r="BS113" s="116">
        <f t="shared" si="87"/>
        <v>48</v>
      </c>
      <c r="BT113" s="117" t="str">
        <f t="shared" si="88"/>
        <v>-</v>
      </c>
      <c r="BU113" s="118">
        <f t="shared" si="89"/>
        <v>84</v>
      </c>
      <c r="BV113" s="117">
        <f t="shared" si="90"/>
        <v>115</v>
      </c>
      <c r="BW113" s="118">
        <f t="shared" si="91"/>
        <v>119</v>
      </c>
      <c r="BX113" s="117" t="str">
        <f t="shared" si="92"/>
        <v>-</v>
      </c>
      <c r="BY113" s="118">
        <f t="shared" si="93"/>
        <v>164</v>
      </c>
      <c r="BZ113" s="117">
        <f t="shared" si="94"/>
        <v>200</v>
      </c>
      <c r="CA113" s="118">
        <f t="shared" si="95"/>
        <v>208</v>
      </c>
      <c r="CB113" s="117">
        <f t="shared" si="96"/>
        <v>251</v>
      </c>
      <c r="CC113" s="118">
        <f t="shared" si="97"/>
        <v>294</v>
      </c>
      <c r="CD113" s="117">
        <f t="shared" si="98"/>
        <v>323</v>
      </c>
      <c r="CE113" s="116">
        <f t="shared" si="99"/>
        <v>79</v>
      </c>
      <c r="CF113" s="117" t="str">
        <f t="shared" si="100"/>
        <v>-</v>
      </c>
      <c r="CG113" s="118">
        <f t="shared" si="101"/>
        <v>113</v>
      </c>
      <c r="CH113" s="118">
        <f t="shared" si="102"/>
        <v>118</v>
      </c>
      <c r="CI113" s="118">
        <f t="shared" si="103"/>
        <v>154</v>
      </c>
      <c r="CJ113" s="118" t="str">
        <f t="shared" si="104"/>
        <v>-</v>
      </c>
      <c r="CK113" s="118">
        <f t="shared" si="105"/>
        <v>189</v>
      </c>
      <c r="CL113" s="118">
        <f t="shared" si="106"/>
        <v>202</v>
      </c>
      <c r="CM113" s="118">
        <f t="shared" si="107"/>
        <v>242</v>
      </c>
      <c r="CN113" s="118">
        <f t="shared" si="108"/>
        <v>289</v>
      </c>
      <c r="CO113" s="118">
        <f t="shared" si="109"/>
        <v>322</v>
      </c>
      <c r="CP113" s="118">
        <f t="shared" si="110"/>
        <v>331</v>
      </c>
      <c r="CQ113" s="57" t="e">
        <f t="shared" si="111"/>
        <v>#VALUE!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</row>
    <row r="114" spans="1:1026" x14ac:dyDescent="0.2">
      <c r="A114" s="3" t="str">
        <f t="shared" si="84"/>
        <v>oprx_human_5DHH</v>
      </c>
      <c r="B114" s="3" t="s">
        <v>1392</v>
      </c>
      <c r="C114" s="3" t="s">
        <v>1590</v>
      </c>
      <c r="D114" s="3" t="str">
        <f>IFERROR(MID(VLOOKUP($B114,Seqs!$A:$B,2,0),E114,1),"")</f>
        <v>L</v>
      </c>
      <c r="E114" s="3">
        <v>48</v>
      </c>
      <c r="F114" s="3" t="str">
        <f>IFERROR(MID(VLOOKUP($B114,Seqs!$A:$B,2,0),G114,1),"")</f>
        <v>H</v>
      </c>
      <c r="G114" s="3">
        <v>79</v>
      </c>
      <c r="H114" s="3" t="str">
        <f>IFERROR(MID(VLOOKUP($B114,Seqs!$A:$B,2,0),I114,1),"")</f>
        <v/>
      </c>
      <c r="I114" s="57" t="s">
        <v>129</v>
      </c>
      <c r="J114" s="3" t="str">
        <f>IFERROR(MID(VLOOKUP($B114,Seqs!$A:$B,2,0),K114,1),"")</f>
        <v/>
      </c>
      <c r="K114" s="57" t="s">
        <v>129</v>
      </c>
      <c r="L114" s="3" t="str">
        <f>IFERROR(MID(VLOOKUP($B114,Seqs!$A:$B,2,0),M114,1),"")</f>
        <v>T</v>
      </c>
      <c r="M114" s="3">
        <v>84</v>
      </c>
      <c r="N114" s="3" t="str">
        <f>IFERROR(MID(VLOOKUP($B114,Seqs!$A:$B,2,0),O114,1),"")</f>
        <v>L</v>
      </c>
      <c r="O114" s="3">
        <v>113</v>
      </c>
      <c r="P114" s="3" t="str">
        <f>IFERROR(MID(VLOOKUP($B114,Seqs!$A:$B,2,0),Q114,1),"")</f>
        <v>F</v>
      </c>
      <c r="Q114" s="3">
        <v>115</v>
      </c>
      <c r="R114" s="3" t="str">
        <f>IFERROR(MID(VLOOKUP($B114,Seqs!$A:$B,2,0),S114,1),"")</f>
        <v>F</v>
      </c>
      <c r="S114" s="3">
        <v>118</v>
      </c>
      <c r="T114" s="3" t="str">
        <f>IFERROR(MID(VLOOKUP($B114,Seqs!$A:$B,2,0),U114,1),"")</f>
        <v>G</v>
      </c>
      <c r="U114" s="3">
        <v>119</v>
      </c>
      <c r="V114" s="3" t="str">
        <f>IFERROR(MID(VLOOKUP($B114,Seqs!$A:$B,2,0),W114,1),"")</f>
        <v>H</v>
      </c>
      <c r="W114" s="3">
        <v>154</v>
      </c>
      <c r="X114" s="3" t="str">
        <f>IFERROR(MID(VLOOKUP($B114,Seqs!$A:$B,2,0),Y114,1),"")</f>
        <v/>
      </c>
      <c r="Y114" s="3" t="s">
        <v>129</v>
      </c>
      <c r="Z114" s="3" t="str">
        <f>IFERROR(MID(VLOOKUP($B114,Seqs!$A:$B,2,0),AA114,1),"")</f>
        <v/>
      </c>
      <c r="AA114" s="3" t="s">
        <v>129</v>
      </c>
      <c r="AB114" s="3" t="str">
        <f>IFERROR(MID(VLOOKUP($B114,Seqs!$A:$B,2,0),AC114,1),"")</f>
        <v>S</v>
      </c>
      <c r="AC114" s="3">
        <v>164</v>
      </c>
      <c r="AD114" s="3" t="str">
        <f>IFERROR(MID(VLOOKUP($B114,Seqs!$A:$B,2,0),AE114,1),"")</f>
        <v>G</v>
      </c>
      <c r="AE114" s="3">
        <v>189</v>
      </c>
      <c r="AF114" s="3" t="str">
        <f>IFERROR(MID(VLOOKUP($B114,Seqs!$A:$B,2,0),AG114,1),"")</f>
        <v>C</v>
      </c>
      <c r="AG114" s="3">
        <v>200</v>
      </c>
      <c r="AH114" s="3" t="str">
        <f>IFERROR(MID(VLOOKUP($B114,Seqs!$A:$B,2,0),AI114,1),"")</f>
        <v>V</v>
      </c>
      <c r="AI114" s="3">
        <v>202</v>
      </c>
      <c r="AJ114" s="3" t="str">
        <f>IFERROR(MID(VLOOKUP($B114,Seqs!$A:$B,2,0),AK114,1),"")</f>
        <v>Q</v>
      </c>
      <c r="AK114" s="3">
        <v>208</v>
      </c>
      <c r="AL114" s="3" t="str">
        <f>IFERROR(MID(VLOOKUP($B114,Seqs!$A:$B,2,0),AM114,1),"")</f>
        <v>L</v>
      </c>
      <c r="AM114" s="3">
        <v>242</v>
      </c>
      <c r="AN114" s="3" t="str">
        <f>IFERROR(MID(VLOOKUP($B114,Seqs!$A:$B,2,0),AO114,1),"")</f>
        <v>S</v>
      </c>
      <c r="AO114" s="127">
        <v>251</v>
      </c>
      <c r="AP114" s="3" t="str">
        <f>IFERROR(MID(VLOOKUP($B114,Seqs!$A:$B,2,0),AQ114,1),"")</f>
        <v>G</v>
      </c>
      <c r="AQ114" s="3">
        <v>289</v>
      </c>
      <c r="AR114" s="3" t="str">
        <f>IFERROR(MID(VLOOKUP($B114,Seqs!$A:$B,2,0),AS114,1),"")</f>
        <v>S</v>
      </c>
      <c r="AS114" s="3">
        <v>294</v>
      </c>
      <c r="AT114" s="3" t="str">
        <f>IFERROR(MID(VLOOKUP($B114,Seqs!$A:$B,2,0),AU114,1),"")</f>
        <v>L</v>
      </c>
      <c r="AU114" s="3">
        <v>322</v>
      </c>
      <c r="AV114" s="3" t="str">
        <f>IFERROR(MID(VLOOKUP($B114,Seqs!$A:$B,2,0),AW114,1),"")</f>
        <v>D</v>
      </c>
      <c r="AW114" s="3">
        <v>323</v>
      </c>
      <c r="AX114" s="3" t="str">
        <f>IFERROR(MID(VLOOKUP($B114,Seqs!$A:$B,2,0),AY114,1),"")</f>
        <v>R</v>
      </c>
      <c r="AY114" s="3">
        <v>331</v>
      </c>
      <c r="BA114" s="124" t="str">
        <f>VLOOKUP(B114,Classification!A:D,2,0)</f>
        <v>A</v>
      </c>
      <c r="BB114" s="90" t="s">
        <v>1596</v>
      </c>
      <c r="BC114" s="1" t="s">
        <v>1597</v>
      </c>
      <c r="BD114" s="1"/>
      <c r="BE114" s="57">
        <f t="shared" si="85"/>
        <v>245</v>
      </c>
      <c r="BF114" s="63" t="b">
        <f t="shared" si="86"/>
        <v>1</v>
      </c>
      <c r="BG114" s="116" t="s">
        <v>1513</v>
      </c>
      <c r="BH114" s="102" t="s">
        <v>1513</v>
      </c>
      <c r="BI114" s="102" t="s">
        <v>1513</v>
      </c>
      <c r="BJ114" s="102" t="s">
        <v>1513</v>
      </c>
      <c r="BK114" s="102" t="s">
        <v>1513</v>
      </c>
      <c r="BL114" s="102" t="s">
        <v>1513</v>
      </c>
      <c r="BM114" s="102" t="s">
        <v>1513</v>
      </c>
      <c r="BN114" s="102" t="s">
        <v>1513</v>
      </c>
      <c r="BO114" s="102" t="s">
        <v>1513</v>
      </c>
      <c r="BP114" s="102" t="s">
        <v>1513</v>
      </c>
      <c r="BQ114" s="102" t="s">
        <v>1513</v>
      </c>
      <c r="BR114" s="102" t="s">
        <v>1513</v>
      </c>
      <c r="BS114" s="116">
        <f t="shared" si="87"/>
        <v>48</v>
      </c>
      <c r="BT114" s="117" t="str">
        <f t="shared" si="88"/>
        <v>-</v>
      </c>
      <c r="BU114" s="118">
        <f t="shared" si="89"/>
        <v>84</v>
      </c>
      <c r="BV114" s="117">
        <f t="shared" si="90"/>
        <v>115</v>
      </c>
      <c r="BW114" s="118">
        <f t="shared" si="91"/>
        <v>119</v>
      </c>
      <c r="BX114" s="117" t="str">
        <f t="shared" si="92"/>
        <v>-</v>
      </c>
      <c r="BY114" s="118">
        <f t="shared" si="93"/>
        <v>164</v>
      </c>
      <c r="BZ114" s="117">
        <f t="shared" si="94"/>
        <v>200</v>
      </c>
      <c r="CA114" s="118">
        <f t="shared" si="95"/>
        <v>208</v>
      </c>
      <c r="CB114" s="117">
        <f t="shared" si="96"/>
        <v>251</v>
      </c>
      <c r="CC114" s="118">
        <f t="shared" si="97"/>
        <v>294</v>
      </c>
      <c r="CD114" s="117">
        <f t="shared" si="98"/>
        <v>323</v>
      </c>
      <c r="CE114" s="116">
        <f t="shared" si="99"/>
        <v>79</v>
      </c>
      <c r="CF114" s="117" t="str">
        <f t="shared" si="100"/>
        <v>-</v>
      </c>
      <c r="CG114" s="118">
        <f t="shared" si="101"/>
        <v>113</v>
      </c>
      <c r="CH114" s="118">
        <f t="shared" si="102"/>
        <v>118</v>
      </c>
      <c r="CI114" s="118">
        <f t="shared" si="103"/>
        <v>154</v>
      </c>
      <c r="CJ114" s="118" t="str">
        <f t="shared" si="104"/>
        <v>-</v>
      </c>
      <c r="CK114" s="118">
        <f t="shared" si="105"/>
        <v>189</v>
      </c>
      <c r="CL114" s="118">
        <f t="shared" si="106"/>
        <v>202</v>
      </c>
      <c r="CM114" s="118">
        <f t="shared" si="107"/>
        <v>242</v>
      </c>
      <c r="CN114" s="118">
        <f t="shared" si="108"/>
        <v>289</v>
      </c>
      <c r="CO114" s="118">
        <f t="shared" si="109"/>
        <v>322</v>
      </c>
      <c r="CP114" s="118">
        <f t="shared" si="110"/>
        <v>331</v>
      </c>
      <c r="CQ114" s="57" t="e">
        <f t="shared" si="111"/>
        <v>#VALUE!</v>
      </c>
    </row>
    <row r="115" spans="1:1026" x14ac:dyDescent="0.2">
      <c r="A115" s="3" t="str">
        <f t="shared" si="84"/>
        <v>opsd_bovin__wt</v>
      </c>
      <c r="B115" s="3" t="s">
        <v>1115</v>
      </c>
      <c r="C115" s="3" t="s">
        <v>293</v>
      </c>
      <c r="D115" s="3" t="str">
        <f>IFERROR(MID(VLOOKUP($B115,Seqs!$A:$B,2,0),E115,1),"")</f>
        <v>P</v>
      </c>
      <c r="E115" s="3">
        <v>34</v>
      </c>
      <c r="F115" s="3" t="str">
        <f>IFERROR(MID(VLOOKUP($B115,Seqs!$A:$B,2,0),G115,1),"")</f>
        <v>H</v>
      </c>
      <c r="G115" s="3">
        <v>65</v>
      </c>
      <c r="H115" s="3" t="str">
        <f>IFERROR(MID(VLOOKUP($B115,Seqs!$A:$B,2,0),I115,1),"")</f>
        <v>K</v>
      </c>
      <c r="I115" s="57">
        <v>66</v>
      </c>
      <c r="J115" s="3" t="str">
        <f>IFERROR(MID(VLOOKUP($B115,Seqs!$A:$B,2,0),K115,1),"")</f>
        <v>R</v>
      </c>
      <c r="K115" s="57">
        <v>69</v>
      </c>
      <c r="L115" s="3" t="str">
        <f>IFERROR(MID(VLOOKUP($B115,Seqs!$A:$B,2,0),M115,1),"")</f>
        <v>T</v>
      </c>
      <c r="M115" s="3">
        <v>70</v>
      </c>
      <c r="N115" s="3" t="str">
        <f>IFERROR(MID(VLOOKUP($B115,Seqs!$A:$B,2,0),O115,1),"")</f>
        <v>H</v>
      </c>
      <c r="O115" s="3">
        <v>100</v>
      </c>
      <c r="P115" s="3" t="str">
        <f>IFERROR(MID(VLOOKUP($B115,Seqs!$A:$B,2,0),Q115,1),"")</f>
        <v>Y</v>
      </c>
      <c r="Q115" s="3">
        <v>102</v>
      </c>
      <c r="R115" s="3" t="str">
        <f>IFERROR(MID(VLOOKUP($B115,Seqs!$A:$B,2,0),S115,1),"")</f>
        <v>F</v>
      </c>
      <c r="S115" s="3">
        <v>105</v>
      </c>
      <c r="T115" s="3" t="str">
        <f>IFERROR(MID(VLOOKUP($B115,Seqs!$A:$B,2,0),U115,1),"")</f>
        <v>G</v>
      </c>
      <c r="U115" s="3">
        <v>106</v>
      </c>
      <c r="V115" s="3" t="str">
        <f>IFERROR(MID(VLOOKUP($B115,Seqs!$A:$B,2,0),W115,1),"")</f>
        <v>K</v>
      </c>
      <c r="W115" s="3">
        <v>141</v>
      </c>
      <c r="X115" s="3" t="str">
        <f>IFERROR(MID(VLOOKUP($B115,Seqs!$A:$B,2,0),Y115,1),"")</f>
        <v>P</v>
      </c>
      <c r="Y115" s="3">
        <v>142</v>
      </c>
      <c r="Z115" s="3" t="str">
        <f>IFERROR(MID(VLOOKUP($B115,Seqs!$A:$B,2,0),AA115,1),"")</f>
        <v>G</v>
      </c>
      <c r="AA115" s="3">
        <v>149</v>
      </c>
      <c r="AB115" s="3" t="str">
        <f>IFERROR(MID(VLOOKUP($B115,Seqs!$A:$B,2,0),AC115,1),"")</f>
        <v>E</v>
      </c>
      <c r="AC115" s="3">
        <v>150</v>
      </c>
      <c r="AD115" s="3" t="str">
        <f>IFERROR(MID(VLOOKUP($B115,Seqs!$A:$B,2,0),AE115,1),"")</f>
        <v>V</v>
      </c>
      <c r="AE115" s="3">
        <v>173</v>
      </c>
      <c r="AF115" s="3" t="str">
        <f>IFERROR(MID(VLOOKUP($B115,Seqs!$A:$B,2,0),AG115,1),"")</f>
        <v>C</v>
      </c>
      <c r="AG115" s="3">
        <v>187</v>
      </c>
      <c r="AH115" s="3" t="str">
        <f>IFERROR(MID(VLOOKUP($B115,Seqs!$A:$B,2,0),AI115,1),"")</f>
        <v>I</v>
      </c>
      <c r="AI115" s="3">
        <v>189</v>
      </c>
      <c r="AJ115" s="3" t="str">
        <f>IFERROR(MID(VLOOKUP($B115,Seqs!$A:$B,2,0),AK115,1),"")</f>
        <v>N</v>
      </c>
      <c r="AK115" s="3">
        <v>199</v>
      </c>
      <c r="AL115" s="3" t="str">
        <f>IFERROR(MID(VLOOKUP($B115,Seqs!$A:$B,2,0),AM115,1),"")</f>
        <v>Q</v>
      </c>
      <c r="AM115" s="3">
        <v>237</v>
      </c>
      <c r="AN115" s="3" t="str">
        <f>IFERROR(MID(VLOOKUP($B115,Seqs!$A:$B,2,0),AO115,1),"")</f>
        <v>A</v>
      </c>
      <c r="AO115" s="3">
        <v>241</v>
      </c>
      <c r="AP115" s="3" t="str">
        <f>IFERROR(MID(VLOOKUP($B115,Seqs!$A:$B,2,0),AQ115,1),"")</f>
        <v>H</v>
      </c>
      <c r="AQ115" s="3">
        <v>278</v>
      </c>
      <c r="AR115" s="3" t="str">
        <f>IFERROR(MID(VLOOKUP($B115,Seqs!$A:$B,2,0),AS115,1),"")</f>
        <v>G</v>
      </c>
      <c r="AS115" s="3">
        <v>284</v>
      </c>
      <c r="AT115" s="3" t="str">
        <f>IFERROR(MID(VLOOKUP($B115,Seqs!$A:$B,2,0),AU115,1),"")</f>
        <v>M</v>
      </c>
      <c r="AU115" s="3">
        <v>309</v>
      </c>
      <c r="AV115" s="3" t="str">
        <f>IFERROR(MID(VLOOKUP($B115,Seqs!$A:$B,2,0),AW115,1),"")</f>
        <v>N</v>
      </c>
      <c r="AW115" s="3">
        <v>310</v>
      </c>
      <c r="AX115" s="3" t="str">
        <f>IFERROR(MID(VLOOKUP($B115,Seqs!$A:$B,2,0),AY115,1),"")</f>
        <v>C</v>
      </c>
      <c r="AY115" s="3">
        <v>322</v>
      </c>
      <c r="BA115" s="124" t="str">
        <f>VLOOKUP(B115,Classification!A:D,2,0)</f>
        <v>A</v>
      </c>
      <c r="BC115" s="1"/>
      <c r="BD115" s="101">
        <f>S115-Q115+1</f>
        <v>4</v>
      </c>
      <c r="BE115" s="57">
        <f t="shared" si="85"/>
        <v>258</v>
      </c>
      <c r="BF115" s="63" t="b">
        <f t="shared" si="86"/>
        <v>1</v>
      </c>
      <c r="BG115" s="116" t="s">
        <v>1513</v>
      </c>
      <c r="BH115" s="102" t="s">
        <v>1513</v>
      </c>
      <c r="BI115" s="102" t="s">
        <v>1513</v>
      </c>
      <c r="BJ115" s="102" t="s">
        <v>1513</v>
      </c>
      <c r="BK115" s="102" t="s">
        <v>1513</v>
      </c>
      <c r="BL115" s="102" t="s">
        <v>1513</v>
      </c>
      <c r="BM115" s="102" t="s">
        <v>1513</v>
      </c>
      <c r="BN115" s="102" t="s">
        <v>1513</v>
      </c>
      <c r="BO115" s="102" t="s">
        <v>1513</v>
      </c>
      <c r="BP115" s="102" t="s">
        <v>1513</v>
      </c>
      <c r="BQ115" s="102" t="s">
        <v>1513</v>
      </c>
      <c r="BR115" s="102" t="s">
        <v>1513</v>
      </c>
      <c r="BS115" s="116">
        <f t="shared" si="87"/>
        <v>34</v>
      </c>
      <c r="BT115" s="117">
        <f t="shared" si="88"/>
        <v>66</v>
      </c>
      <c r="BU115" s="118">
        <f t="shared" si="89"/>
        <v>70</v>
      </c>
      <c r="BV115" s="117">
        <f t="shared" si="90"/>
        <v>102</v>
      </c>
      <c r="BW115" s="118">
        <f t="shared" si="91"/>
        <v>106</v>
      </c>
      <c r="BX115" s="117">
        <f t="shared" si="92"/>
        <v>142</v>
      </c>
      <c r="BY115" s="118">
        <f t="shared" si="93"/>
        <v>150</v>
      </c>
      <c r="BZ115" s="117">
        <f t="shared" si="94"/>
        <v>187</v>
      </c>
      <c r="CA115" s="118">
        <f t="shared" si="95"/>
        <v>199</v>
      </c>
      <c r="CB115" s="117">
        <f t="shared" si="96"/>
        <v>241</v>
      </c>
      <c r="CC115" s="118">
        <f t="shared" si="97"/>
        <v>284</v>
      </c>
      <c r="CD115" s="117">
        <f t="shared" si="98"/>
        <v>310</v>
      </c>
      <c r="CE115" s="116">
        <f t="shared" si="99"/>
        <v>65</v>
      </c>
      <c r="CF115" s="117">
        <f t="shared" si="100"/>
        <v>69</v>
      </c>
      <c r="CG115" s="118">
        <f t="shared" si="101"/>
        <v>100</v>
      </c>
      <c r="CH115" s="118">
        <f t="shared" si="102"/>
        <v>105</v>
      </c>
      <c r="CI115" s="118">
        <f t="shared" si="103"/>
        <v>141</v>
      </c>
      <c r="CJ115" s="118">
        <f t="shared" si="104"/>
        <v>149</v>
      </c>
      <c r="CK115" s="118">
        <f t="shared" si="105"/>
        <v>173</v>
      </c>
      <c r="CL115" s="118">
        <f t="shared" si="106"/>
        <v>189</v>
      </c>
      <c r="CM115" s="118">
        <f t="shared" si="107"/>
        <v>237</v>
      </c>
      <c r="CN115" s="118">
        <f t="shared" si="108"/>
        <v>278</v>
      </c>
      <c r="CO115" s="118">
        <f t="shared" si="109"/>
        <v>309</v>
      </c>
      <c r="CP115" s="118">
        <f t="shared" si="110"/>
        <v>322</v>
      </c>
      <c r="CQ115" s="57">
        <f t="shared" si="111"/>
        <v>1</v>
      </c>
    </row>
    <row r="116" spans="1:1026" x14ac:dyDescent="0.2">
      <c r="A116" s="3" t="str">
        <f t="shared" si="84"/>
        <v>opsd_bovin_3DQB</v>
      </c>
      <c r="B116" s="3" t="s">
        <v>1115</v>
      </c>
      <c r="C116" s="3" t="s">
        <v>244</v>
      </c>
      <c r="D116" s="3" t="str">
        <f>IFERROR(MID(VLOOKUP($B116,Seqs!$A:$B,2,0),E116,1),"")</f>
        <v>P</v>
      </c>
      <c r="E116" s="3">
        <v>34</v>
      </c>
      <c r="F116" s="3" t="str">
        <f>IFERROR(MID(VLOOKUP($B116,Seqs!$A:$B,2,0),G116,1),"")</f>
        <v>H</v>
      </c>
      <c r="G116" s="3">
        <v>65</v>
      </c>
      <c r="H116" s="3" t="str">
        <f>IFERROR(MID(VLOOKUP($B116,Seqs!$A:$B,2,0),I116,1),"")</f>
        <v>K</v>
      </c>
      <c r="I116" s="57">
        <v>66</v>
      </c>
      <c r="J116" s="3" t="str">
        <f>IFERROR(MID(VLOOKUP($B116,Seqs!$A:$B,2,0),K116,1),"")</f>
        <v>R</v>
      </c>
      <c r="K116" s="57">
        <v>69</v>
      </c>
      <c r="L116" s="3" t="str">
        <f>IFERROR(MID(VLOOKUP($B116,Seqs!$A:$B,2,0),M116,1),"")</f>
        <v>T</v>
      </c>
      <c r="M116" s="3">
        <v>70</v>
      </c>
      <c r="N116" s="3" t="str">
        <f>IFERROR(MID(VLOOKUP($B116,Seqs!$A:$B,2,0),O116,1),"")</f>
        <v>H</v>
      </c>
      <c r="O116" s="3">
        <v>100</v>
      </c>
      <c r="P116" s="3" t="str">
        <f>IFERROR(MID(VLOOKUP($B116,Seqs!$A:$B,2,0),Q116,1),"")</f>
        <v>Y</v>
      </c>
      <c r="Q116" s="3">
        <v>102</v>
      </c>
      <c r="R116" s="3" t="str">
        <f>IFERROR(MID(VLOOKUP($B116,Seqs!$A:$B,2,0),S116,1),"")</f>
        <v>F</v>
      </c>
      <c r="S116" s="3">
        <v>105</v>
      </c>
      <c r="T116" s="3" t="str">
        <f>IFERROR(MID(VLOOKUP($B116,Seqs!$A:$B,2,0),U116,1),"")</f>
        <v>G</v>
      </c>
      <c r="U116" s="3">
        <v>106</v>
      </c>
      <c r="V116" s="3" t="str">
        <f>IFERROR(MID(VLOOKUP($B116,Seqs!$A:$B,2,0),W116,1),"")</f>
        <v>K</v>
      </c>
      <c r="W116" s="3">
        <v>141</v>
      </c>
      <c r="X116" s="3" t="str">
        <f>IFERROR(MID(VLOOKUP($B116,Seqs!$A:$B,2,0),Y116,1),"")</f>
        <v/>
      </c>
      <c r="Y116" s="3" t="s">
        <v>129</v>
      </c>
      <c r="Z116" s="3" t="str">
        <f>IFERROR(MID(VLOOKUP($B116,Seqs!$A:$B,2,0),AA116,1),"")</f>
        <v/>
      </c>
      <c r="AA116" s="3" t="s">
        <v>129</v>
      </c>
      <c r="AB116" s="3" t="str">
        <f>IFERROR(MID(VLOOKUP($B116,Seqs!$A:$B,2,0),AC116,1),"")</f>
        <v>E</v>
      </c>
      <c r="AC116" s="3">
        <v>150</v>
      </c>
      <c r="AD116" s="3" t="str">
        <f>IFERROR(MID(VLOOKUP($B116,Seqs!$A:$B,2,0),AE116,1),"")</f>
        <v>V</v>
      </c>
      <c r="AE116" s="3">
        <v>173</v>
      </c>
      <c r="AF116" s="3" t="str">
        <f>IFERROR(MID(VLOOKUP($B116,Seqs!$A:$B,2,0),AG116,1),"")</f>
        <v>C</v>
      </c>
      <c r="AG116" s="3">
        <v>187</v>
      </c>
      <c r="AH116" s="3" t="str">
        <f>IFERROR(MID(VLOOKUP($B116,Seqs!$A:$B,2,0),AI116,1),"")</f>
        <v>I</v>
      </c>
      <c r="AI116" s="3">
        <v>189</v>
      </c>
      <c r="AJ116" s="3" t="str">
        <f>IFERROR(MID(VLOOKUP($B116,Seqs!$A:$B,2,0),AK116,1),"")</f>
        <v>N</v>
      </c>
      <c r="AK116" s="3">
        <v>199</v>
      </c>
      <c r="AL116" s="3" t="str">
        <f>IFERROR(MID(VLOOKUP($B116,Seqs!$A:$B,2,0),AM116,1),"")</f>
        <v>Q</v>
      </c>
      <c r="AM116" s="3">
        <v>237</v>
      </c>
      <c r="AN116" s="3" t="str">
        <f>IFERROR(MID(VLOOKUP($B116,Seqs!$A:$B,2,0),AO116,1),"")</f>
        <v>A</v>
      </c>
      <c r="AO116" s="3">
        <v>241</v>
      </c>
      <c r="AP116" s="3" t="str">
        <f>IFERROR(MID(VLOOKUP($B116,Seqs!$A:$B,2,0),AQ116,1),"")</f>
        <v>H</v>
      </c>
      <c r="AQ116" s="3">
        <v>278</v>
      </c>
      <c r="AR116" s="3" t="str">
        <f>IFERROR(MID(VLOOKUP($B116,Seqs!$A:$B,2,0),AS116,1),"")</f>
        <v>G</v>
      </c>
      <c r="AS116" s="3">
        <v>284</v>
      </c>
      <c r="AT116" s="3" t="str">
        <f>IFERROR(MID(VLOOKUP($B116,Seqs!$A:$B,2,0),AU116,1),"")</f>
        <v>M</v>
      </c>
      <c r="AU116" s="3">
        <v>309</v>
      </c>
      <c r="AV116" s="3" t="str">
        <f>IFERROR(MID(VLOOKUP($B116,Seqs!$A:$B,2,0),AW116,1),"")</f>
        <v>N</v>
      </c>
      <c r="AW116" s="3">
        <v>310</v>
      </c>
      <c r="AX116" s="3" t="str">
        <f>IFERROR(MID(VLOOKUP($B116,Seqs!$A:$B,2,0),AY116,1),"")</f>
        <v>C</v>
      </c>
      <c r="AY116" s="3">
        <v>322</v>
      </c>
      <c r="BA116" s="124" t="str">
        <f>VLOOKUP(B116,Classification!A:D,2,0)</f>
        <v>A</v>
      </c>
      <c r="BC116" s="1"/>
      <c r="BD116" s="5" t="s">
        <v>1329</v>
      </c>
      <c r="BE116" s="57">
        <f t="shared" si="85"/>
        <v>251</v>
      </c>
      <c r="BF116" s="63" t="b">
        <f t="shared" si="86"/>
        <v>1</v>
      </c>
      <c r="BG116" s="116" t="s">
        <v>1513</v>
      </c>
      <c r="BH116" s="102" t="s">
        <v>1513</v>
      </c>
      <c r="BI116" s="102" t="s">
        <v>1513</v>
      </c>
      <c r="BJ116" s="102" t="s">
        <v>1513</v>
      </c>
      <c r="BK116" s="102" t="s">
        <v>1513</v>
      </c>
      <c r="BL116" s="102" t="s">
        <v>1513</v>
      </c>
      <c r="BM116" s="102" t="s">
        <v>1513</v>
      </c>
      <c r="BN116" s="102" t="s">
        <v>1513</v>
      </c>
      <c r="BO116" s="102" t="s">
        <v>1513</v>
      </c>
      <c r="BP116" s="102" t="s">
        <v>1513</v>
      </c>
      <c r="BQ116" s="102" t="s">
        <v>1513</v>
      </c>
      <c r="BR116" s="102" t="s">
        <v>1513</v>
      </c>
      <c r="BS116" s="116">
        <f t="shared" si="87"/>
        <v>34</v>
      </c>
      <c r="BT116" s="117">
        <f t="shared" si="88"/>
        <v>66</v>
      </c>
      <c r="BU116" s="118">
        <f t="shared" si="89"/>
        <v>70</v>
      </c>
      <c r="BV116" s="117">
        <f t="shared" si="90"/>
        <v>102</v>
      </c>
      <c r="BW116" s="118">
        <f t="shared" si="91"/>
        <v>106</v>
      </c>
      <c r="BX116" s="117" t="str">
        <f t="shared" si="92"/>
        <v>-</v>
      </c>
      <c r="BY116" s="118">
        <f t="shared" si="93"/>
        <v>150</v>
      </c>
      <c r="BZ116" s="117">
        <f t="shared" si="94"/>
        <v>187</v>
      </c>
      <c r="CA116" s="118">
        <f t="shared" si="95"/>
        <v>199</v>
      </c>
      <c r="CB116" s="117">
        <f t="shared" si="96"/>
        <v>241</v>
      </c>
      <c r="CC116" s="118">
        <f t="shared" si="97"/>
        <v>284</v>
      </c>
      <c r="CD116" s="117">
        <f t="shared" si="98"/>
        <v>310</v>
      </c>
      <c r="CE116" s="116">
        <f t="shared" si="99"/>
        <v>65</v>
      </c>
      <c r="CF116" s="117">
        <f t="shared" si="100"/>
        <v>69</v>
      </c>
      <c r="CG116" s="118">
        <f t="shared" si="101"/>
        <v>100</v>
      </c>
      <c r="CH116" s="118">
        <f t="shared" si="102"/>
        <v>105</v>
      </c>
      <c r="CI116" s="118">
        <f t="shared" si="103"/>
        <v>141</v>
      </c>
      <c r="CJ116" s="118" t="str">
        <f t="shared" si="104"/>
        <v>-</v>
      </c>
      <c r="CK116" s="118">
        <f t="shared" si="105"/>
        <v>173</v>
      </c>
      <c r="CL116" s="118">
        <f t="shared" si="106"/>
        <v>189</v>
      </c>
      <c r="CM116" s="118">
        <f t="shared" si="107"/>
        <v>237</v>
      </c>
      <c r="CN116" s="118">
        <f t="shared" si="108"/>
        <v>278</v>
      </c>
      <c r="CO116" s="118">
        <f t="shared" si="109"/>
        <v>309</v>
      </c>
      <c r="CP116" s="118">
        <f t="shared" si="110"/>
        <v>322</v>
      </c>
      <c r="CQ116" s="57">
        <f t="shared" si="111"/>
        <v>1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</row>
    <row r="117" spans="1:1026" x14ac:dyDescent="0.2">
      <c r="A117" s="3" t="str">
        <f t="shared" si="84"/>
        <v>opsd_bovin_5DYS</v>
      </c>
      <c r="B117" s="3" t="s">
        <v>1115</v>
      </c>
      <c r="C117" s="3" t="s">
        <v>1591</v>
      </c>
      <c r="D117" s="3" t="str">
        <f>IFERROR(MID(VLOOKUP($B117,Seqs!$A:$B,2,0),E117,1),"")</f>
        <v>P</v>
      </c>
      <c r="E117" s="3">
        <v>34</v>
      </c>
      <c r="F117" s="3" t="str">
        <f>IFERROR(MID(VLOOKUP($B117,Seqs!$A:$B,2,0),G117,1),"")</f>
        <v>H</v>
      </c>
      <c r="G117" s="3">
        <v>65</v>
      </c>
      <c r="H117" s="3" t="str">
        <f>IFERROR(MID(VLOOKUP($B117,Seqs!$A:$B,2,0),I117,1),"")</f>
        <v>K</v>
      </c>
      <c r="I117" s="57">
        <v>66</v>
      </c>
      <c r="J117" s="3" t="str">
        <f>IFERROR(MID(VLOOKUP($B117,Seqs!$A:$B,2,0),K117,1),"")</f>
        <v>R</v>
      </c>
      <c r="K117" s="57">
        <v>69</v>
      </c>
      <c r="L117" s="3" t="str">
        <f>IFERROR(MID(VLOOKUP($B117,Seqs!$A:$B,2,0),M117,1),"")</f>
        <v>T</v>
      </c>
      <c r="M117" s="3">
        <v>70</v>
      </c>
      <c r="N117" s="3" t="str">
        <f>IFERROR(MID(VLOOKUP($B117,Seqs!$A:$B,2,0),O117,1),"")</f>
        <v>H</v>
      </c>
      <c r="O117" s="3">
        <v>100</v>
      </c>
      <c r="P117" s="3" t="str">
        <f>IFERROR(MID(VLOOKUP($B117,Seqs!$A:$B,2,0),Q117,1),"")</f>
        <v>Y</v>
      </c>
      <c r="Q117" s="3">
        <v>102</v>
      </c>
      <c r="R117" s="3" t="str">
        <f>IFERROR(MID(VLOOKUP($B117,Seqs!$A:$B,2,0),S117,1),"")</f>
        <v>F</v>
      </c>
      <c r="S117" s="3">
        <v>105</v>
      </c>
      <c r="T117" s="3" t="str">
        <f>IFERROR(MID(VLOOKUP($B117,Seqs!$A:$B,2,0),U117,1),"")</f>
        <v>G</v>
      </c>
      <c r="U117" s="127">
        <v>106</v>
      </c>
      <c r="V117" s="3" t="str">
        <f>IFERROR(MID(VLOOKUP($B117,Seqs!$A:$B,2,0),W117,1),"")</f>
        <v>K</v>
      </c>
      <c r="W117" s="127">
        <v>141</v>
      </c>
      <c r="X117" s="3" t="str">
        <f>IFERROR(MID(VLOOKUP($B117,Seqs!$A:$B,2,0),Y117,1),"")</f>
        <v/>
      </c>
      <c r="Y117" s="3" t="s">
        <v>129</v>
      </c>
      <c r="Z117" s="3" t="str">
        <f>IFERROR(MID(VLOOKUP($B117,Seqs!$A:$B,2,0),AA117,1),"")</f>
        <v/>
      </c>
      <c r="AA117" s="3" t="s">
        <v>129</v>
      </c>
      <c r="AB117" s="3" t="str">
        <f>IFERROR(MID(VLOOKUP($B117,Seqs!$A:$B,2,0),AC117,1),"")</f>
        <v>E</v>
      </c>
      <c r="AC117" s="3">
        <v>150</v>
      </c>
      <c r="AD117" s="3" t="str">
        <f>IFERROR(MID(VLOOKUP($B117,Seqs!$A:$B,2,0),AE117,1),"")</f>
        <v>V</v>
      </c>
      <c r="AE117" s="3">
        <v>173</v>
      </c>
      <c r="AF117" s="3" t="str">
        <f>IFERROR(MID(VLOOKUP($B117,Seqs!$A:$B,2,0),AG117,1),"")</f>
        <v>C</v>
      </c>
      <c r="AG117" s="3">
        <v>187</v>
      </c>
      <c r="AH117" s="3" t="str">
        <f>IFERROR(MID(VLOOKUP($B117,Seqs!$A:$B,2,0),AI117,1),"")</f>
        <v>I</v>
      </c>
      <c r="AI117" s="3">
        <v>189</v>
      </c>
      <c r="AJ117" s="3" t="str">
        <f>IFERROR(MID(VLOOKUP($B117,Seqs!$A:$B,2,0),AK117,1),"")</f>
        <v>N</v>
      </c>
      <c r="AK117" s="3">
        <v>199</v>
      </c>
      <c r="AL117" s="3" t="str">
        <f>IFERROR(MID(VLOOKUP($B117,Seqs!$A:$B,2,0),AM117,1),"")</f>
        <v>Q</v>
      </c>
      <c r="AM117" s="3">
        <v>237</v>
      </c>
      <c r="AN117" s="3" t="str">
        <f>IFERROR(MID(VLOOKUP($B117,Seqs!$A:$B,2,0),AO117,1),"")</f>
        <v>A</v>
      </c>
      <c r="AO117" s="3">
        <v>241</v>
      </c>
      <c r="AP117" s="3" t="str">
        <f>IFERROR(MID(VLOOKUP($B117,Seqs!$A:$B,2,0),AQ117,1),"")</f>
        <v>H</v>
      </c>
      <c r="AQ117" s="3">
        <v>278</v>
      </c>
      <c r="AR117" s="3" t="str">
        <f>IFERROR(MID(VLOOKUP($B117,Seqs!$A:$B,2,0),AS117,1),"")</f>
        <v>G</v>
      </c>
      <c r="AS117" s="3">
        <v>284</v>
      </c>
      <c r="AT117" s="3" t="str">
        <f>IFERROR(MID(VLOOKUP($B117,Seqs!$A:$B,2,0),AU117,1),"")</f>
        <v>M</v>
      </c>
      <c r="AU117" s="3">
        <v>309</v>
      </c>
      <c r="AV117" s="3" t="str">
        <f>IFERROR(MID(VLOOKUP($B117,Seqs!$A:$B,2,0),AW117,1),"")</f>
        <v>N</v>
      </c>
      <c r="AW117" s="3">
        <v>310</v>
      </c>
      <c r="AX117" s="3" t="str">
        <f>IFERROR(MID(VLOOKUP($B117,Seqs!$A:$B,2,0),AY117,1),"")</f>
        <v>C</v>
      </c>
      <c r="AY117" s="3">
        <v>322</v>
      </c>
      <c r="BA117" s="124" t="str">
        <f>VLOOKUP(B117,Classification!A:D,2,0)</f>
        <v>A</v>
      </c>
      <c r="BB117" s="90" t="s">
        <v>1596</v>
      </c>
      <c r="BC117" s="1"/>
      <c r="BD117" s="4"/>
      <c r="BE117" s="57">
        <f t="shared" si="85"/>
        <v>251</v>
      </c>
      <c r="BF117" s="63" t="b">
        <f t="shared" si="86"/>
        <v>1</v>
      </c>
      <c r="BG117" s="116" t="s">
        <v>1513</v>
      </c>
      <c r="BH117" s="102" t="s">
        <v>1513</v>
      </c>
      <c r="BI117" s="102" t="s">
        <v>1513</v>
      </c>
      <c r="BJ117" s="102" t="s">
        <v>1513</v>
      </c>
      <c r="BK117" s="102" t="s">
        <v>1513</v>
      </c>
      <c r="BL117" s="102" t="s">
        <v>1513</v>
      </c>
      <c r="BM117" s="102" t="s">
        <v>1513</v>
      </c>
      <c r="BN117" s="102" t="s">
        <v>1513</v>
      </c>
      <c r="BO117" s="102" t="s">
        <v>1513</v>
      </c>
      <c r="BP117" s="102" t="s">
        <v>1513</v>
      </c>
      <c r="BQ117" s="102" t="s">
        <v>1513</v>
      </c>
      <c r="BR117" s="102" t="s">
        <v>1513</v>
      </c>
      <c r="BS117" s="116">
        <f t="shared" si="87"/>
        <v>34</v>
      </c>
      <c r="BT117" s="117">
        <f t="shared" si="88"/>
        <v>66</v>
      </c>
      <c r="BU117" s="118">
        <f t="shared" si="89"/>
        <v>70</v>
      </c>
      <c r="BV117" s="117">
        <f t="shared" si="90"/>
        <v>102</v>
      </c>
      <c r="BW117" s="118">
        <f t="shared" si="91"/>
        <v>106</v>
      </c>
      <c r="BX117" s="117" t="str">
        <f t="shared" si="92"/>
        <v>-</v>
      </c>
      <c r="BY117" s="118">
        <f t="shared" si="93"/>
        <v>150</v>
      </c>
      <c r="BZ117" s="117">
        <f t="shared" si="94"/>
        <v>187</v>
      </c>
      <c r="CA117" s="118">
        <f t="shared" si="95"/>
        <v>199</v>
      </c>
      <c r="CB117" s="117">
        <f t="shared" si="96"/>
        <v>241</v>
      </c>
      <c r="CC117" s="118">
        <f t="shared" si="97"/>
        <v>284</v>
      </c>
      <c r="CD117" s="117">
        <f t="shared" si="98"/>
        <v>310</v>
      </c>
      <c r="CE117" s="116">
        <f t="shared" si="99"/>
        <v>65</v>
      </c>
      <c r="CF117" s="117">
        <f t="shared" si="100"/>
        <v>69</v>
      </c>
      <c r="CG117" s="118">
        <f t="shared" si="101"/>
        <v>100</v>
      </c>
      <c r="CH117" s="118">
        <f t="shared" si="102"/>
        <v>105</v>
      </c>
      <c r="CI117" s="118">
        <f t="shared" si="103"/>
        <v>141</v>
      </c>
      <c r="CJ117" s="118" t="str">
        <f t="shared" si="104"/>
        <v>-</v>
      </c>
      <c r="CK117" s="118">
        <f t="shared" si="105"/>
        <v>173</v>
      </c>
      <c r="CL117" s="118">
        <f t="shared" si="106"/>
        <v>189</v>
      </c>
      <c r="CM117" s="118">
        <f t="shared" si="107"/>
        <v>237</v>
      </c>
      <c r="CN117" s="118">
        <f t="shared" si="108"/>
        <v>278</v>
      </c>
      <c r="CO117" s="118">
        <f t="shared" si="109"/>
        <v>309</v>
      </c>
      <c r="CP117" s="118">
        <f t="shared" si="110"/>
        <v>322</v>
      </c>
      <c r="CQ117" s="57">
        <f t="shared" si="111"/>
        <v>1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</row>
    <row r="118" spans="1:1026" x14ac:dyDescent="0.2">
      <c r="A118" s="3" t="str">
        <f t="shared" si="84"/>
        <v>opsd_bovin_5EN0</v>
      </c>
      <c r="B118" s="3" t="s">
        <v>1115</v>
      </c>
      <c r="C118" s="3" t="s">
        <v>1592</v>
      </c>
      <c r="D118" s="3" t="str">
        <f>IFERROR(MID(VLOOKUP($B118,Seqs!$A:$B,2,0),E118,1),"")</f>
        <v>P</v>
      </c>
      <c r="E118" s="3">
        <v>34</v>
      </c>
      <c r="F118" s="3" t="str">
        <f>IFERROR(MID(VLOOKUP($B118,Seqs!$A:$B,2,0),G118,1),"")</f>
        <v>H</v>
      </c>
      <c r="G118" s="3">
        <v>65</v>
      </c>
      <c r="H118" s="3" t="str">
        <f>IFERROR(MID(VLOOKUP($B118,Seqs!$A:$B,2,0),I118,1),"")</f>
        <v>K</v>
      </c>
      <c r="I118" s="57">
        <v>66</v>
      </c>
      <c r="J118" s="3" t="str">
        <f>IFERROR(MID(VLOOKUP($B118,Seqs!$A:$B,2,0),K118,1),"")</f>
        <v>R</v>
      </c>
      <c r="K118" s="57">
        <v>69</v>
      </c>
      <c r="L118" s="3" t="str">
        <f>IFERROR(MID(VLOOKUP($B118,Seqs!$A:$B,2,0),M118,1),"")</f>
        <v>T</v>
      </c>
      <c r="M118" s="3">
        <v>70</v>
      </c>
      <c r="N118" s="3" t="str">
        <f>IFERROR(MID(VLOOKUP($B118,Seqs!$A:$B,2,0),O118,1),"")</f>
        <v>H</v>
      </c>
      <c r="O118" s="3">
        <v>100</v>
      </c>
      <c r="P118" s="3" t="str">
        <f>IFERROR(MID(VLOOKUP($B118,Seqs!$A:$B,2,0),Q118,1),"")</f>
        <v>Y</v>
      </c>
      <c r="Q118" s="3">
        <v>102</v>
      </c>
      <c r="R118" s="3" t="str">
        <f>IFERROR(MID(VLOOKUP($B118,Seqs!$A:$B,2,0),S118,1),"")</f>
        <v>F</v>
      </c>
      <c r="S118" s="3">
        <v>105</v>
      </c>
      <c r="T118" s="3" t="str">
        <f>IFERROR(MID(VLOOKUP($B118,Seqs!$A:$B,2,0),U118,1),"")</f>
        <v>G</v>
      </c>
      <c r="U118" s="127">
        <v>106</v>
      </c>
      <c r="V118" s="3" t="str">
        <f>IFERROR(MID(VLOOKUP($B118,Seqs!$A:$B,2,0),W118,1),"")</f>
        <v>K</v>
      </c>
      <c r="W118" s="127">
        <v>141</v>
      </c>
      <c r="X118" s="3" t="str">
        <f>IFERROR(MID(VLOOKUP($B118,Seqs!$A:$B,2,0),Y118,1),"")</f>
        <v/>
      </c>
      <c r="Y118" s="3" t="s">
        <v>129</v>
      </c>
      <c r="Z118" s="3" t="str">
        <f>IFERROR(MID(VLOOKUP($B118,Seqs!$A:$B,2,0),AA118,1),"")</f>
        <v/>
      </c>
      <c r="AA118" s="3" t="s">
        <v>129</v>
      </c>
      <c r="AB118" s="3" t="str">
        <f>IFERROR(MID(VLOOKUP($B118,Seqs!$A:$B,2,0),AC118,1),"")</f>
        <v>E</v>
      </c>
      <c r="AC118" s="3">
        <v>150</v>
      </c>
      <c r="AD118" s="3" t="str">
        <f>IFERROR(MID(VLOOKUP($B118,Seqs!$A:$B,2,0),AE118,1),"")</f>
        <v>V</v>
      </c>
      <c r="AE118" s="3">
        <v>173</v>
      </c>
      <c r="AF118" s="3" t="str">
        <f>IFERROR(MID(VLOOKUP($B118,Seqs!$A:$B,2,0),AG118,1),"")</f>
        <v>C</v>
      </c>
      <c r="AG118" s="3">
        <v>187</v>
      </c>
      <c r="AH118" s="3" t="str">
        <f>IFERROR(MID(VLOOKUP($B118,Seqs!$A:$B,2,0),AI118,1),"")</f>
        <v>I</v>
      </c>
      <c r="AI118" s="3">
        <v>189</v>
      </c>
      <c r="AJ118" s="3" t="str">
        <f>IFERROR(MID(VLOOKUP($B118,Seqs!$A:$B,2,0),AK118,1),"")</f>
        <v>N</v>
      </c>
      <c r="AK118" s="3">
        <v>199</v>
      </c>
      <c r="AL118" s="3" t="str">
        <f>IFERROR(MID(VLOOKUP($B118,Seqs!$A:$B,2,0),AM118,1),"")</f>
        <v>Q</v>
      </c>
      <c r="AM118" s="3">
        <v>237</v>
      </c>
      <c r="AN118" s="3" t="str">
        <f>IFERROR(MID(VLOOKUP($B118,Seqs!$A:$B,2,0),AO118,1),"")</f>
        <v>A</v>
      </c>
      <c r="AO118" s="3">
        <v>241</v>
      </c>
      <c r="AP118" s="3" t="str">
        <f>IFERROR(MID(VLOOKUP($B118,Seqs!$A:$B,2,0),AQ118,1),"")</f>
        <v>H</v>
      </c>
      <c r="AQ118" s="3">
        <v>278</v>
      </c>
      <c r="AR118" s="3" t="str">
        <f>IFERROR(MID(VLOOKUP($B118,Seqs!$A:$B,2,0),AS118,1),"")</f>
        <v>G</v>
      </c>
      <c r="AS118" s="3">
        <v>284</v>
      </c>
      <c r="AT118" s="3" t="str">
        <f>IFERROR(MID(VLOOKUP($B118,Seqs!$A:$B,2,0),AU118,1),"")</f>
        <v>M</v>
      </c>
      <c r="AU118" s="3">
        <v>309</v>
      </c>
      <c r="AV118" s="3" t="str">
        <f>IFERROR(MID(VLOOKUP($B118,Seqs!$A:$B,2,0),AW118,1),"")</f>
        <v>N</v>
      </c>
      <c r="AW118" s="3">
        <v>310</v>
      </c>
      <c r="AX118" s="3" t="str">
        <f>IFERROR(MID(VLOOKUP($B118,Seqs!$A:$B,2,0),AY118,1),"")</f>
        <v>C</v>
      </c>
      <c r="AY118" s="3">
        <v>322</v>
      </c>
      <c r="BA118" s="124" t="str">
        <f>VLOOKUP(B118,Classification!A:D,2,0)</f>
        <v>A</v>
      </c>
      <c r="BB118" s="90" t="s">
        <v>1596</v>
      </c>
      <c r="BC118" s="1"/>
      <c r="BD118" s="5"/>
      <c r="BE118" s="57">
        <f t="shared" si="85"/>
        <v>251</v>
      </c>
      <c r="BF118" s="63" t="b">
        <f t="shared" si="86"/>
        <v>1</v>
      </c>
      <c r="BG118" s="116" t="s">
        <v>1513</v>
      </c>
      <c r="BH118" s="102" t="s">
        <v>1513</v>
      </c>
      <c r="BI118" s="102" t="s">
        <v>1513</v>
      </c>
      <c r="BJ118" s="102" t="s">
        <v>1513</v>
      </c>
      <c r="BK118" s="102" t="s">
        <v>1513</v>
      </c>
      <c r="BL118" s="102" t="s">
        <v>1513</v>
      </c>
      <c r="BM118" s="102" t="s">
        <v>1513</v>
      </c>
      <c r="BN118" s="102" t="s">
        <v>1513</v>
      </c>
      <c r="BO118" s="102" t="s">
        <v>1513</v>
      </c>
      <c r="BP118" s="102" t="s">
        <v>1513</v>
      </c>
      <c r="BQ118" s="102" t="s">
        <v>1513</v>
      </c>
      <c r="BR118" s="102" t="s">
        <v>1513</v>
      </c>
      <c r="BS118" s="116">
        <f t="shared" si="87"/>
        <v>34</v>
      </c>
      <c r="BT118" s="117">
        <f t="shared" si="88"/>
        <v>66</v>
      </c>
      <c r="BU118" s="118">
        <f t="shared" si="89"/>
        <v>70</v>
      </c>
      <c r="BV118" s="117">
        <f t="shared" si="90"/>
        <v>102</v>
      </c>
      <c r="BW118" s="118">
        <f t="shared" si="91"/>
        <v>106</v>
      </c>
      <c r="BX118" s="117" t="str">
        <f t="shared" si="92"/>
        <v>-</v>
      </c>
      <c r="BY118" s="118">
        <f t="shared" si="93"/>
        <v>150</v>
      </c>
      <c r="BZ118" s="117">
        <f t="shared" si="94"/>
        <v>187</v>
      </c>
      <c r="CA118" s="118">
        <f t="shared" si="95"/>
        <v>199</v>
      </c>
      <c r="CB118" s="117">
        <f t="shared" si="96"/>
        <v>241</v>
      </c>
      <c r="CC118" s="118">
        <f t="shared" si="97"/>
        <v>284</v>
      </c>
      <c r="CD118" s="117">
        <f t="shared" si="98"/>
        <v>310</v>
      </c>
      <c r="CE118" s="116">
        <f t="shared" si="99"/>
        <v>65</v>
      </c>
      <c r="CF118" s="117">
        <f t="shared" si="100"/>
        <v>69</v>
      </c>
      <c r="CG118" s="118">
        <f t="shared" si="101"/>
        <v>100</v>
      </c>
      <c r="CH118" s="118">
        <f t="shared" si="102"/>
        <v>105</v>
      </c>
      <c r="CI118" s="118">
        <f t="shared" si="103"/>
        <v>141</v>
      </c>
      <c r="CJ118" s="118" t="str">
        <f t="shared" si="104"/>
        <v>-</v>
      </c>
      <c r="CK118" s="118">
        <f t="shared" si="105"/>
        <v>173</v>
      </c>
      <c r="CL118" s="118">
        <f t="shared" si="106"/>
        <v>189</v>
      </c>
      <c r="CM118" s="118">
        <f t="shared" si="107"/>
        <v>237</v>
      </c>
      <c r="CN118" s="118">
        <f t="shared" si="108"/>
        <v>278</v>
      </c>
      <c r="CO118" s="118">
        <f t="shared" si="109"/>
        <v>309</v>
      </c>
      <c r="CP118" s="118">
        <f t="shared" si="110"/>
        <v>322</v>
      </c>
      <c r="CQ118" s="57">
        <f t="shared" si="111"/>
        <v>1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</row>
    <row r="119" spans="1:1026" x14ac:dyDescent="0.2">
      <c r="A119" s="3" t="str">
        <f t="shared" si="84"/>
        <v>opsd_bovin_1GZM</v>
      </c>
      <c r="B119" s="3" t="s">
        <v>1115</v>
      </c>
      <c r="C119" s="3" t="s">
        <v>1571</v>
      </c>
      <c r="D119" s="3" t="str">
        <f>IFERROR(MID(VLOOKUP($B119,Seqs!$A:$B,2,0),E119,1),"")</f>
        <v>P</v>
      </c>
      <c r="E119" s="3">
        <v>34</v>
      </c>
      <c r="F119" s="3" t="str">
        <f>IFERROR(MID(VLOOKUP($B119,Seqs!$A:$B,2,0),G119,1),"")</f>
        <v>H</v>
      </c>
      <c r="G119" s="3">
        <v>65</v>
      </c>
      <c r="H119" s="3" t="str">
        <f>IFERROR(MID(VLOOKUP($B119,Seqs!$A:$B,2,0),I119,1),"")</f>
        <v>K</v>
      </c>
      <c r="I119" s="57">
        <v>66</v>
      </c>
      <c r="J119" s="3" t="str">
        <f>IFERROR(MID(VLOOKUP($B119,Seqs!$A:$B,2,0),K119,1),"")</f>
        <v>R</v>
      </c>
      <c r="K119" s="57">
        <v>69</v>
      </c>
      <c r="L119" s="3" t="str">
        <f>IFERROR(MID(VLOOKUP($B119,Seqs!$A:$B,2,0),M119,1),"")</f>
        <v>T</v>
      </c>
      <c r="M119" s="3">
        <v>70</v>
      </c>
      <c r="N119" s="3" t="str">
        <f>IFERROR(MID(VLOOKUP($B119,Seqs!$A:$B,2,0),O119,1),"")</f>
        <v>H</v>
      </c>
      <c r="O119" s="3">
        <v>100</v>
      </c>
      <c r="P119" s="3" t="str">
        <f>IFERROR(MID(VLOOKUP($B119,Seqs!$A:$B,2,0),Q119,1),"")</f>
        <v>Y</v>
      </c>
      <c r="Q119" s="3">
        <v>102</v>
      </c>
      <c r="R119" s="3" t="str">
        <f>IFERROR(MID(VLOOKUP($B119,Seqs!$A:$B,2,0),S119,1),"")</f>
        <v>F</v>
      </c>
      <c r="S119" s="3">
        <v>105</v>
      </c>
      <c r="T119" s="3" t="str">
        <f>IFERROR(MID(VLOOKUP($B119,Seqs!$A:$B,2,0),U119,1),"")</f>
        <v>G</v>
      </c>
      <c r="U119" s="3">
        <v>106</v>
      </c>
      <c r="V119" s="3" t="str">
        <f>IFERROR(MID(VLOOKUP($B119,Seqs!$A:$B,2,0),W119,1),"")</f>
        <v>K</v>
      </c>
      <c r="W119" s="3">
        <v>141</v>
      </c>
      <c r="X119" s="3" t="str">
        <f>IFERROR(MID(VLOOKUP($B119,Seqs!$A:$B,2,0),Y119,1),"")</f>
        <v/>
      </c>
      <c r="Y119" s="3" t="s">
        <v>129</v>
      </c>
      <c r="Z119" s="3" t="str">
        <f>IFERROR(MID(VLOOKUP($B119,Seqs!$A:$B,2,0),AA119,1),"")</f>
        <v/>
      </c>
      <c r="AA119" s="3" t="s">
        <v>129</v>
      </c>
      <c r="AB119" s="3" t="str">
        <f>IFERROR(MID(VLOOKUP($B119,Seqs!$A:$B,2,0),AC119,1),"")</f>
        <v>E</v>
      </c>
      <c r="AC119" s="3">
        <v>150</v>
      </c>
      <c r="AD119" s="3" t="str">
        <f>IFERROR(MID(VLOOKUP($B119,Seqs!$A:$B,2,0),AE119,1),"")</f>
        <v>V</v>
      </c>
      <c r="AE119" s="3">
        <v>173</v>
      </c>
      <c r="AF119" s="3" t="str">
        <f>IFERROR(MID(VLOOKUP($B119,Seqs!$A:$B,2,0),AG119,1),"")</f>
        <v>C</v>
      </c>
      <c r="AG119" s="3">
        <v>187</v>
      </c>
      <c r="AH119" s="3" t="str">
        <f>IFERROR(MID(VLOOKUP($B119,Seqs!$A:$B,2,0),AI119,1),"")</f>
        <v>I</v>
      </c>
      <c r="AI119" s="3">
        <v>189</v>
      </c>
      <c r="AJ119" s="3" t="str">
        <f>IFERROR(MID(VLOOKUP($B119,Seqs!$A:$B,2,0),AK119,1),"")</f>
        <v>N</v>
      </c>
      <c r="AK119" s="3">
        <v>199</v>
      </c>
      <c r="AL119" s="3" t="str">
        <f>IFERROR(MID(VLOOKUP($B119,Seqs!$A:$B,2,0),AM119,1),"")</f>
        <v>A</v>
      </c>
      <c r="AM119" s="3">
        <v>233</v>
      </c>
      <c r="AN119" s="3" t="str">
        <f>IFERROR(MID(VLOOKUP($B119,Seqs!$A:$B,2,0),AO119,1),"")</f>
        <v>A</v>
      </c>
      <c r="AO119" s="3">
        <v>241</v>
      </c>
      <c r="AP119" s="3" t="str">
        <f>IFERROR(MID(VLOOKUP($B119,Seqs!$A:$B,2,0),AQ119,1),"")</f>
        <v>H</v>
      </c>
      <c r="AQ119" s="3">
        <v>278</v>
      </c>
      <c r="AR119" s="3" t="str">
        <f>IFERROR(MID(VLOOKUP($B119,Seqs!$A:$B,2,0),AS119,1),"")</f>
        <v>G</v>
      </c>
      <c r="AS119" s="3">
        <v>284</v>
      </c>
      <c r="AT119" s="3" t="str">
        <f>IFERROR(MID(VLOOKUP($B119,Seqs!$A:$B,2,0),AU119,1),"")</f>
        <v>M</v>
      </c>
      <c r="AU119" s="3">
        <v>309</v>
      </c>
      <c r="AV119" s="3" t="str">
        <f>IFERROR(MID(VLOOKUP($B119,Seqs!$A:$B,2,0),AW119,1),"")</f>
        <v>N</v>
      </c>
      <c r="AW119" s="3">
        <v>310</v>
      </c>
      <c r="AX119" s="3" t="str">
        <f>IFERROR(MID(VLOOKUP($B119,Seqs!$A:$B,2,0),AY119,1),"")</f>
        <v>C</v>
      </c>
      <c r="AY119" s="3">
        <v>322</v>
      </c>
      <c r="BA119" s="124" t="str">
        <f>VLOOKUP(B119,Classification!A:D,2,0)</f>
        <v>A</v>
      </c>
      <c r="BC119" s="1"/>
      <c r="BD119" s="5"/>
      <c r="BE119" s="57">
        <f t="shared" si="85"/>
        <v>247</v>
      </c>
      <c r="BF119" s="63" t="b">
        <f t="shared" si="86"/>
        <v>1</v>
      </c>
      <c r="BG119" s="116" t="s">
        <v>1513</v>
      </c>
      <c r="BH119" s="102" t="s">
        <v>1513</v>
      </c>
      <c r="BI119" s="102" t="s">
        <v>1513</v>
      </c>
      <c r="BJ119" s="102" t="s">
        <v>1513</v>
      </c>
      <c r="BK119" s="102" t="s">
        <v>1513</v>
      </c>
      <c r="BL119" s="102" t="s">
        <v>1513</v>
      </c>
      <c r="BM119" s="102" t="s">
        <v>1513</v>
      </c>
      <c r="BN119" s="102" t="s">
        <v>1513</v>
      </c>
      <c r="BO119" s="102" t="s">
        <v>1513</v>
      </c>
      <c r="BP119" s="102" t="s">
        <v>1513</v>
      </c>
      <c r="BQ119" s="102" t="s">
        <v>1513</v>
      </c>
      <c r="BR119" s="102" t="s">
        <v>1513</v>
      </c>
      <c r="BS119" s="116">
        <f t="shared" si="87"/>
        <v>34</v>
      </c>
      <c r="BT119" s="117">
        <f t="shared" si="88"/>
        <v>66</v>
      </c>
      <c r="BU119" s="118">
        <f t="shared" si="89"/>
        <v>70</v>
      </c>
      <c r="BV119" s="117">
        <f t="shared" si="90"/>
        <v>102</v>
      </c>
      <c r="BW119" s="118">
        <f t="shared" si="91"/>
        <v>106</v>
      </c>
      <c r="BX119" s="117" t="str">
        <f t="shared" si="92"/>
        <v>-</v>
      </c>
      <c r="BY119" s="118">
        <f t="shared" si="93"/>
        <v>150</v>
      </c>
      <c r="BZ119" s="117">
        <f t="shared" si="94"/>
        <v>187</v>
      </c>
      <c r="CA119" s="118">
        <f t="shared" si="95"/>
        <v>199</v>
      </c>
      <c r="CB119" s="117">
        <f t="shared" si="96"/>
        <v>241</v>
      </c>
      <c r="CC119" s="118">
        <f t="shared" si="97"/>
        <v>284</v>
      </c>
      <c r="CD119" s="117">
        <f t="shared" si="98"/>
        <v>310</v>
      </c>
      <c r="CE119" s="116">
        <f t="shared" si="99"/>
        <v>65</v>
      </c>
      <c r="CF119" s="117">
        <f t="shared" si="100"/>
        <v>69</v>
      </c>
      <c r="CG119" s="118">
        <f t="shared" si="101"/>
        <v>100</v>
      </c>
      <c r="CH119" s="118">
        <f t="shared" si="102"/>
        <v>105</v>
      </c>
      <c r="CI119" s="118">
        <f t="shared" si="103"/>
        <v>141</v>
      </c>
      <c r="CJ119" s="118" t="str">
        <f t="shared" si="104"/>
        <v>-</v>
      </c>
      <c r="CK119" s="118">
        <f t="shared" si="105"/>
        <v>173</v>
      </c>
      <c r="CL119" s="118">
        <f t="shared" si="106"/>
        <v>189</v>
      </c>
      <c r="CM119" s="118">
        <f t="shared" si="107"/>
        <v>233</v>
      </c>
      <c r="CN119" s="118">
        <f t="shared" si="108"/>
        <v>278</v>
      </c>
      <c r="CO119" s="118">
        <f t="shared" si="109"/>
        <v>309</v>
      </c>
      <c r="CP119" s="118">
        <f t="shared" si="110"/>
        <v>322</v>
      </c>
      <c r="CQ119" s="57">
        <f t="shared" si="111"/>
        <v>1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</row>
    <row r="120" spans="1:1026" x14ac:dyDescent="0.2">
      <c r="A120" s="3" t="str">
        <f t="shared" ref="A120:A151" si="112">CONCATENATE(B120,"_",C120)</f>
        <v>opsd_bovin_1U19</v>
      </c>
      <c r="B120" s="3" t="s">
        <v>1115</v>
      </c>
      <c r="C120" s="3" t="s">
        <v>243</v>
      </c>
      <c r="D120" s="3" t="str">
        <f>IFERROR(MID(VLOOKUP($B120,Seqs!$A:$B,2,0),E120,1),"")</f>
        <v>P</v>
      </c>
      <c r="E120" s="3">
        <v>34</v>
      </c>
      <c r="F120" s="3" t="str">
        <f>IFERROR(MID(VLOOKUP($B120,Seqs!$A:$B,2,0),G120,1),"")</f>
        <v>H</v>
      </c>
      <c r="G120" s="3">
        <v>65</v>
      </c>
      <c r="H120" s="3" t="str">
        <f>IFERROR(MID(VLOOKUP($B120,Seqs!$A:$B,2,0),I120,1),"")</f>
        <v>K</v>
      </c>
      <c r="I120" s="57">
        <v>66</v>
      </c>
      <c r="J120" s="3" t="str">
        <f>IFERROR(MID(VLOOKUP($B120,Seqs!$A:$B,2,0),K120,1),"")</f>
        <v>R</v>
      </c>
      <c r="K120" s="57">
        <v>69</v>
      </c>
      <c r="L120" s="3" t="str">
        <f>IFERROR(MID(VLOOKUP($B120,Seqs!$A:$B,2,0),M120,1),"")</f>
        <v>T</v>
      </c>
      <c r="M120" s="3">
        <v>70</v>
      </c>
      <c r="N120" s="3" t="str">
        <f>IFERROR(MID(VLOOKUP($B120,Seqs!$A:$B,2,0),O120,1),"")</f>
        <v>H</v>
      </c>
      <c r="O120" s="3">
        <v>100</v>
      </c>
      <c r="P120" s="3" t="str">
        <f>IFERROR(MID(VLOOKUP($B120,Seqs!$A:$B,2,0),Q120,1),"")</f>
        <v>Y</v>
      </c>
      <c r="Q120" s="3">
        <v>102</v>
      </c>
      <c r="R120" s="3" t="str">
        <f>IFERROR(MID(VLOOKUP($B120,Seqs!$A:$B,2,0),S120,1),"")</f>
        <v>F</v>
      </c>
      <c r="S120" s="3">
        <v>105</v>
      </c>
      <c r="T120" s="3" t="str">
        <f>IFERROR(MID(VLOOKUP($B120,Seqs!$A:$B,2,0),U120,1),"")</f>
        <v>G</v>
      </c>
      <c r="U120" s="3">
        <v>106</v>
      </c>
      <c r="V120" s="3" t="str">
        <f>IFERROR(MID(VLOOKUP($B120,Seqs!$A:$B,2,0),W120,1),"")</f>
        <v>K</v>
      </c>
      <c r="W120" s="3">
        <v>141</v>
      </c>
      <c r="X120" s="3" t="str">
        <f>IFERROR(MID(VLOOKUP($B120,Seqs!$A:$B,2,0),Y120,1),"")</f>
        <v/>
      </c>
      <c r="Y120" s="3" t="s">
        <v>129</v>
      </c>
      <c r="Z120" s="3" t="str">
        <f>IFERROR(MID(VLOOKUP($B120,Seqs!$A:$B,2,0),AA120,1),"")</f>
        <v/>
      </c>
      <c r="AA120" s="3" t="s">
        <v>129</v>
      </c>
      <c r="AB120" s="3" t="str">
        <f>IFERROR(MID(VLOOKUP($B120,Seqs!$A:$B,2,0),AC120,1),"")</f>
        <v>E</v>
      </c>
      <c r="AC120" s="3">
        <v>150</v>
      </c>
      <c r="AD120" s="3" t="str">
        <f>IFERROR(MID(VLOOKUP($B120,Seqs!$A:$B,2,0),AE120,1),"")</f>
        <v>V</v>
      </c>
      <c r="AE120" s="3">
        <v>173</v>
      </c>
      <c r="AF120" s="3" t="str">
        <f>IFERROR(MID(VLOOKUP($B120,Seqs!$A:$B,2,0),AG120,1),"")</f>
        <v>C</v>
      </c>
      <c r="AG120" s="3">
        <v>187</v>
      </c>
      <c r="AH120" s="3" t="str">
        <f>IFERROR(MID(VLOOKUP($B120,Seqs!$A:$B,2,0),AI120,1),"")</f>
        <v>I</v>
      </c>
      <c r="AI120" s="3">
        <v>189</v>
      </c>
      <c r="AJ120" s="3" t="str">
        <f>IFERROR(MID(VLOOKUP($B120,Seqs!$A:$B,2,0),AK120,1),"")</f>
        <v>N</v>
      </c>
      <c r="AK120" s="3">
        <v>199</v>
      </c>
      <c r="AL120" s="3" t="str">
        <f>IFERROR(MID(VLOOKUP($B120,Seqs!$A:$B,2,0),AM120,1),"")</f>
        <v>Q</v>
      </c>
      <c r="AM120" s="3">
        <v>225</v>
      </c>
      <c r="AN120" s="3" t="str">
        <f>IFERROR(MID(VLOOKUP($B120,Seqs!$A:$B,2,0),AO120,1),"")</f>
        <v>T</v>
      </c>
      <c r="AO120" s="3">
        <v>243</v>
      </c>
      <c r="AP120" s="3" t="str">
        <f>IFERROR(MID(VLOOKUP($B120,Seqs!$A:$B,2,0),AQ120,1),"")</f>
        <v>H</v>
      </c>
      <c r="AQ120" s="3">
        <v>278</v>
      </c>
      <c r="AR120" s="3" t="str">
        <f>IFERROR(MID(VLOOKUP($B120,Seqs!$A:$B,2,0),AS120,1),"")</f>
        <v>G</v>
      </c>
      <c r="AS120" s="3">
        <v>284</v>
      </c>
      <c r="AT120" s="3" t="str">
        <f>IFERROR(MID(VLOOKUP($B120,Seqs!$A:$B,2,0),AU120,1),"")</f>
        <v>M</v>
      </c>
      <c r="AU120" s="3">
        <v>309</v>
      </c>
      <c r="AV120" s="3" t="str">
        <f>IFERROR(MID(VLOOKUP($B120,Seqs!$A:$B,2,0),AW120,1),"")</f>
        <v>N</v>
      </c>
      <c r="AW120" s="3">
        <v>310</v>
      </c>
      <c r="AX120" s="3" t="str">
        <f>IFERROR(MID(VLOOKUP($B120,Seqs!$A:$B,2,0),AY120,1),"")</f>
        <v>C</v>
      </c>
      <c r="AY120" s="3">
        <v>322</v>
      </c>
      <c r="BA120" s="124" t="str">
        <f>VLOOKUP(B120,Classification!A:D,2,0)</f>
        <v>A</v>
      </c>
      <c r="BC120" s="1"/>
      <c r="BD120" s="72">
        <f>S120-Q120+1</f>
        <v>4</v>
      </c>
      <c r="BE120" s="57">
        <f t="shared" ref="BE120:BE151" si="113">_xlfn.AGGREGATE(9,6,CE120:CP120)-_xlfn.AGGREGATE(9,6,BS120:CD120)+12</f>
        <v>237</v>
      </c>
      <c r="BF120" s="63" t="b">
        <f t="shared" ref="BF120:BF151" si="114">AND(E120&lt;G120,OR(G120&lt;I120,I120="-"),OR(I120&lt;K120,I120="-"),OR(K120&lt;M120,K120="-"),M120&lt;O120,OR(O120&lt;Q120,Q120="-"),OR(Q120&lt;S120,Q120="-"),OR(S120&lt;U120,S120="-"),U120&lt;W120,OR(W120&lt;Y120,Y120="-"),OR(Y120&lt;AA120,Y120="-"),OR(AA120&lt;AC120,AA120="-"),AC120&lt;AE120,OR(AE120&lt;AG120,AG120="-"),OR(AG120&lt;AI120,AG120="-"),OR(AI120&lt;AK120,AI120="-"),AK120&lt;AM120,AM120&lt;AO120,AO120&lt;AQ120,AQ120&lt;AS120,AS120&lt;AU120,OR(AU120&lt;AW120,AW120="-"),OR(AW120&lt;AY120,AW120="-"))</f>
        <v>1</v>
      </c>
      <c r="BG120" s="116" t="s">
        <v>1513</v>
      </c>
      <c r="BH120" s="102" t="s">
        <v>1513</v>
      </c>
      <c r="BI120" s="102" t="s">
        <v>1513</v>
      </c>
      <c r="BJ120" s="102" t="s">
        <v>1513</v>
      </c>
      <c r="BK120" s="102" t="s">
        <v>1513</v>
      </c>
      <c r="BL120" s="102" t="s">
        <v>1513</v>
      </c>
      <c r="BM120" s="102" t="s">
        <v>1513</v>
      </c>
      <c r="BN120" s="102" t="s">
        <v>1513</v>
      </c>
      <c r="BO120" s="102" t="s">
        <v>1513</v>
      </c>
      <c r="BP120" s="102" t="s">
        <v>1513</v>
      </c>
      <c r="BQ120" s="102" t="s">
        <v>1513</v>
      </c>
      <c r="BR120" s="102" t="s">
        <v>1513</v>
      </c>
      <c r="BS120" s="116">
        <f t="shared" ref="BS120:BS151" si="115">E120</f>
        <v>34</v>
      </c>
      <c r="BT120" s="117">
        <f t="shared" ref="BT120:BT151" si="116">I120</f>
        <v>66</v>
      </c>
      <c r="BU120" s="118">
        <f t="shared" ref="BU120:BU151" si="117">M120</f>
        <v>70</v>
      </c>
      <c r="BV120" s="117">
        <f t="shared" ref="BV120:BV151" si="118">Q120</f>
        <v>102</v>
      </c>
      <c r="BW120" s="118">
        <f t="shared" ref="BW120:BW151" si="119">U120</f>
        <v>106</v>
      </c>
      <c r="BX120" s="117" t="str">
        <f t="shared" ref="BX120:BX151" si="120">Y120</f>
        <v>-</v>
      </c>
      <c r="BY120" s="118">
        <f t="shared" ref="BY120:BY151" si="121">AC120</f>
        <v>150</v>
      </c>
      <c r="BZ120" s="117">
        <f t="shared" ref="BZ120:BZ151" si="122">AG120</f>
        <v>187</v>
      </c>
      <c r="CA120" s="118">
        <f t="shared" ref="CA120:CA151" si="123">AK120</f>
        <v>199</v>
      </c>
      <c r="CB120" s="117">
        <f t="shared" ref="CB120:CB151" si="124">AO120</f>
        <v>243</v>
      </c>
      <c r="CC120" s="118">
        <f t="shared" ref="CC120:CC151" si="125">AS120</f>
        <v>284</v>
      </c>
      <c r="CD120" s="117">
        <f t="shared" ref="CD120:CD151" si="126">AW120</f>
        <v>310</v>
      </c>
      <c r="CE120" s="116">
        <f t="shared" ref="CE120:CE151" si="127">G120</f>
        <v>65</v>
      </c>
      <c r="CF120" s="117">
        <f t="shared" ref="CF120:CF151" si="128">K120</f>
        <v>69</v>
      </c>
      <c r="CG120" s="118">
        <f t="shared" ref="CG120:CG151" si="129">O120</f>
        <v>100</v>
      </c>
      <c r="CH120" s="118">
        <f t="shared" ref="CH120:CH151" si="130">S120</f>
        <v>105</v>
      </c>
      <c r="CI120" s="118">
        <f t="shared" ref="CI120:CI151" si="131">W120</f>
        <v>141</v>
      </c>
      <c r="CJ120" s="118" t="str">
        <f t="shared" ref="CJ120:CJ151" si="132">AA120</f>
        <v>-</v>
      </c>
      <c r="CK120" s="118">
        <f t="shared" ref="CK120:CK151" si="133">AE120</f>
        <v>173</v>
      </c>
      <c r="CL120" s="118">
        <f t="shared" ref="CL120:CL151" si="134">AI120</f>
        <v>189</v>
      </c>
      <c r="CM120" s="118">
        <f t="shared" ref="CM120:CM151" si="135">AM120</f>
        <v>225</v>
      </c>
      <c r="CN120" s="118">
        <f t="shared" ref="CN120:CN151" si="136">AQ120</f>
        <v>278</v>
      </c>
      <c r="CO120" s="118">
        <f t="shared" ref="CO120:CO151" si="137">AU120</f>
        <v>309</v>
      </c>
      <c r="CP120" s="118">
        <f t="shared" ref="CP120:CP151" si="138">AY120</f>
        <v>322</v>
      </c>
      <c r="CQ120" s="57">
        <f t="shared" ref="CQ120:CQ151" si="139">M120-K120</f>
        <v>1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</row>
    <row r="121" spans="1:1026" s="23" customFormat="1" x14ac:dyDescent="0.2">
      <c r="A121" s="3" t="str">
        <f t="shared" si="112"/>
        <v>opsd_bovin_3PQR</v>
      </c>
      <c r="B121" s="3" t="s">
        <v>1115</v>
      </c>
      <c r="C121" s="3" t="s">
        <v>1238</v>
      </c>
      <c r="D121" s="3" t="str">
        <f>IFERROR(MID(VLOOKUP($B121,Seqs!$A:$B,2,0),E121,1),"")</f>
        <v>P</v>
      </c>
      <c r="E121" s="3">
        <v>34</v>
      </c>
      <c r="F121" s="3" t="str">
        <f>IFERROR(MID(VLOOKUP($B121,Seqs!$A:$B,2,0),G121,1),"")</f>
        <v>H</v>
      </c>
      <c r="G121" s="3">
        <v>65</v>
      </c>
      <c r="H121" s="3" t="str">
        <f>IFERROR(MID(VLOOKUP($B121,Seqs!$A:$B,2,0),I121,1),"")</f>
        <v>K</v>
      </c>
      <c r="I121" s="57">
        <v>66</v>
      </c>
      <c r="J121" s="3" t="str">
        <f>IFERROR(MID(VLOOKUP($B121,Seqs!$A:$B,2,0),K121,1),"")</f>
        <v>R</v>
      </c>
      <c r="K121" s="57">
        <v>69</v>
      </c>
      <c r="L121" s="3" t="str">
        <f>IFERROR(MID(VLOOKUP($B121,Seqs!$A:$B,2,0),M121,1),"")</f>
        <v>T</v>
      </c>
      <c r="M121" s="3">
        <v>70</v>
      </c>
      <c r="N121" s="3" t="str">
        <f>IFERROR(MID(VLOOKUP($B121,Seqs!$A:$B,2,0),O121,1),"")</f>
        <v>H</v>
      </c>
      <c r="O121" s="3">
        <v>100</v>
      </c>
      <c r="P121" s="3" t="str">
        <f>IFERROR(MID(VLOOKUP($B121,Seqs!$A:$B,2,0),Q121,1),"")</f>
        <v>Y</v>
      </c>
      <c r="Q121" s="3">
        <v>102</v>
      </c>
      <c r="R121" s="3" t="str">
        <f>IFERROR(MID(VLOOKUP($B121,Seqs!$A:$B,2,0),S121,1),"")</f>
        <v>F</v>
      </c>
      <c r="S121" s="3">
        <v>105</v>
      </c>
      <c r="T121" s="3" t="str">
        <f>IFERROR(MID(VLOOKUP($B121,Seqs!$A:$B,2,0),U121,1),"")</f>
        <v>G</v>
      </c>
      <c r="U121" s="3">
        <v>106</v>
      </c>
      <c r="V121" s="3" t="str">
        <f>IFERROR(MID(VLOOKUP($B121,Seqs!$A:$B,2,0),W121,1),"")</f>
        <v>K</v>
      </c>
      <c r="W121" s="3">
        <v>141</v>
      </c>
      <c r="X121" s="3" t="str">
        <f>IFERROR(MID(VLOOKUP($B121,Seqs!$A:$B,2,0),Y121,1),"")</f>
        <v/>
      </c>
      <c r="Y121" s="3" t="s">
        <v>129</v>
      </c>
      <c r="Z121" s="3" t="str">
        <f>IFERROR(MID(VLOOKUP($B121,Seqs!$A:$B,2,0),AA121,1),"")</f>
        <v/>
      </c>
      <c r="AA121" s="3" t="s">
        <v>129</v>
      </c>
      <c r="AB121" s="3" t="str">
        <f>IFERROR(MID(VLOOKUP($B121,Seqs!$A:$B,2,0),AC121,1),"")</f>
        <v>E</v>
      </c>
      <c r="AC121" s="3">
        <v>150</v>
      </c>
      <c r="AD121" s="3" t="str">
        <f>IFERROR(MID(VLOOKUP($B121,Seqs!$A:$B,2,0),AE121,1),"")</f>
        <v>V</v>
      </c>
      <c r="AE121" s="3">
        <v>173</v>
      </c>
      <c r="AF121" s="3" t="str">
        <f>IFERROR(MID(VLOOKUP($B121,Seqs!$A:$B,2,0),AG121,1),"")</f>
        <v>C</v>
      </c>
      <c r="AG121" s="3">
        <v>187</v>
      </c>
      <c r="AH121" s="3" t="str">
        <f>IFERROR(MID(VLOOKUP($B121,Seqs!$A:$B,2,0),AI121,1),"")</f>
        <v>I</v>
      </c>
      <c r="AI121" s="3">
        <v>189</v>
      </c>
      <c r="AJ121" s="3" t="str">
        <f>IFERROR(MID(VLOOKUP($B121,Seqs!$A:$B,2,0),AK121,1),"")</f>
        <v>N</v>
      </c>
      <c r="AK121" s="3">
        <v>199</v>
      </c>
      <c r="AL121" s="3" t="str">
        <f>IFERROR(MID(VLOOKUP($B121,Seqs!$A:$B,2,0),AM121,1),"")</f>
        <v>Q</v>
      </c>
      <c r="AM121" s="3">
        <v>237</v>
      </c>
      <c r="AN121" s="3" t="str">
        <f>IFERROR(MID(VLOOKUP($B121,Seqs!$A:$B,2,0),AO121,1),"")</f>
        <v>A</v>
      </c>
      <c r="AO121" s="3">
        <v>241</v>
      </c>
      <c r="AP121" s="3" t="str">
        <f>IFERROR(MID(VLOOKUP($B121,Seqs!$A:$B,2,0),AQ121,1),"")</f>
        <v>H</v>
      </c>
      <c r="AQ121" s="3">
        <v>278</v>
      </c>
      <c r="AR121" s="3" t="str">
        <f>IFERROR(MID(VLOOKUP($B121,Seqs!$A:$B,2,0),AS121,1),"")</f>
        <v>G</v>
      </c>
      <c r="AS121" s="3">
        <v>284</v>
      </c>
      <c r="AT121" s="3" t="str">
        <f>IFERROR(MID(VLOOKUP($B121,Seqs!$A:$B,2,0),AU121,1),"")</f>
        <v>M</v>
      </c>
      <c r="AU121" s="3">
        <v>309</v>
      </c>
      <c r="AV121" s="3" t="str">
        <f>IFERROR(MID(VLOOKUP($B121,Seqs!$A:$B,2,0),AW121,1),"")</f>
        <v>N</v>
      </c>
      <c r="AW121" s="3">
        <v>310</v>
      </c>
      <c r="AX121" s="3" t="str">
        <f>IFERROR(MID(VLOOKUP($B121,Seqs!$A:$B,2,0),AY121,1),"")</f>
        <v>C</v>
      </c>
      <c r="AY121" s="3">
        <v>322</v>
      </c>
      <c r="AZ121" s="90"/>
      <c r="BA121" s="124" t="str">
        <f>VLOOKUP(B121,Classification!A:D,2,0)</f>
        <v>A</v>
      </c>
      <c r="BB121" s="90"/>
      <c r="BC121" s="1"/>
      <c r="BD121" s="5"/>
      <c r="BE121" s="57">
        <f t="shared" si="113"/>
        <v>251</v>
      </c>
      <c r="BF121" s="63" t="b">
        <f t="shared" si="114"/>
        <v>1</v>
      </c>
      <c r="BG121" s="116" t="s">
        <v>1513</v>
      </c>
      <c r="BH121" s="102" t="s">
        <v>1513</v>
      </c>
      <c r="BI121" s="102" t="s">
        <v>1513</v>
      </c>
      <c r="BJ121" s="102" t="s">
        <v>1513</v>
      </c>
      <c r="BK121" s="102" t="s">
        <v>1513</v>
      </c>
      <c r="BL121" s="102" t="s">
        <v>1513</v>
      </c>
      <c r="BM121" s="102" t="s">
        <v>1513</v>
      </c>
      <c r="BN121" s="102" t="s">
        <v>1513</v>
      </c>
      <c r="BO121" s="102" t="s">
        <v>1513</v>
      </c>
      <c r="BP121" s="102" t="s">
        <v>1513</v>
      </c>
      <c r="BQ121" s="102" t="s">
        <v>1513</v>
      </c>
      <c r="BR121" s="102" t="s">
        <v>1513</v>
      </c>
      <c r="BS121" s="116">
        <f t="shared" si="115"/>
        <v>34</v>
      </c>
      <c r="BT121" s="117">
        <f t="shared" si="116"/>
        <v>66</v>
      </c>
      <c r="BU121" s="118">
        <f t="shared" si="117"/>
        <v>70</v>
      </c>
      <c r="BV121" s="117">
        <f t="shared" si="118"/>
        <v>102</v>
      </c>
      <c r="BW121" s="118">
        <f t="shared" si="119"/>
        <v>106</v>
      </c>
      <c r="BX121" s="117" t="str">
        <f t="shared" si="120"/>
        <v>-</v>
      </c>
      <c r="BY121" s="118">
        <f t="shared" si="121"/>
        <v>150</v>
      </c>
      <c r="BZ121" s="117">
        <f t="shared" si="122"/>
        <v>187</v>
      </c>
      <c r="CA121" s="118">
        <f t="shared" si="123"/>
        <v>199</v>
      </c>
      <c r="CB121" s="117">
        <f t="shared" si="124"/>
        <v>241</v>
      </c>
      <c r="CC121" s="118">
        <f t="shared" si="125"/>
        <v>284</v>
      </c>
      <c r="CD121" s="117">
        <f t="shared" si="126"/>
        <v>310</v>
      </c>
      <c r="CE121" s="116">
        <f t="shared" si="127"/>
        <v>65</v>
      </c>
      <c r="CF121" s="117">
        <f t="shared" si="128"/>
        <v>69</v>
      </c>
      <c r="CG121" s="118">
        <f t="shared" si="129"/>
        <v>100</v>
      </c>
      <c r="CH121" s="118">
        <f t="shared" si="130"/>
        <v>105</v>
      </c>
      <c r="CI121" s="118">
        <f t="shared" si="131"/>
        <v>141</v>
      </c>
      <c r="CJ121" s="118" t="str">
        <f t="shared" si="132"/>
        <v>-</v>
      </c>
      <c r="CK121" s="118">
        <f t="shared" si="133"/>
        <v>173</v>
      </c>
      <c r="CL121" s="118">
        <f t="shared" si="134"/>
        <v>189</v>
      </c>
      <c r="CM121" s="118">
        <f t="shared" si="135"/>
        <v>237</v>
      </c>
      <c r="CN121" s="118">
        <f t="shared" si="136"/>
        <v>278</v>
      </c>
      <c r="CO121" s="118">
        <f t="shared" si="137"/>
        <v>309</v>
      </c>
      <c r="CP121" s="118">
        <f t="shared" si="138"/>
        <v>322</v>
      </c>
      <c r="CQ121" s="57">
        <f t="shared" si="139"/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</row>
    <row r="122" spans="1:1026" x14ac:dyDescent="0.2">
      <c r="A122" s="3" t="str">
        <f t="shared" si="112"/>
        <v>opsd_bovin_4J4Q</v>
      </c>
      <c r="B122" s="3" t="s">
        <v>1115</v>
      </c>
      <c r="C122" s="3" t="s">
        <v>1249</v>
      </c>
      <c r="D122" s="3" t="str">
        <f>IFERROR(MID(VLOOKUP($B122,Seqs!$A:$B,2,0),E122,1),"")</f>
        <v>P</v>
      </c>
      <c r="E122" s="3">
        <v>34</v>
      </c>
      <c r="F122" s="3" t="str">
        <f>IFERROR(MID(VLOOKUP($B122,Seqs!$A:$B,2,0),G122,1),"")</f>
        <v>H</v>
      </c>
      <c r="G122" s="3">
        <v>65</v>
      </c>
      <c r="H122" s="3" t="str">
        <f>IFERROR(MID(VLOOKUP($B122,Seqs!$A:$B,2,0),I122,1),"")</f>
        <v>K</v>
      </c>
      <c r="I122" s="57">
        <v>66</v>
      </c>
      <c r="J122" s="3" t="str">
        <f>IFERROR(MID(VLOOKUP($B122,Seqs!$A:$B,2,0),K122,1),"")</f>
        <v>R</v>
      </c>
      <c r="K122" s="57">
        <v>69</v>
      </c>
      <c r="L122" s="3" t="str">
        <f>IFERROR(MID(VLOOKUP($B122,Seqs!$A:$B,2,0),M122,1),"")</f>
        <v>T</v>
      </c>
      <c r="M122" s="3">
        <v>70</v>
      </c>
      <c r="N122" s="3" t="str">
        <f>IFERROR(MID(VLOOKUP($B122,Seqs!$A:$B,2,0),O122,1),"")</f>
        <v>H</v>
      </c>
      <c r="O122" s="3">
        <v>100</v>
      </c>
      <c r="P122" s="3" t="str">
        <f>IFERROR(MID(VLOOKUP($B122,Seqs!$A:$B,2,0),Q122,1),"")</f>
        <v>Y</v>
      </c>
      <c r="Q122" s="3">
        <v>102</v>
      </c>
      <c r="R122" s="3" t="str">
        <f>IFERROR(MID(VLOOKUP($B122,Seqs!$A:$B,2,0),S122,1),"")</f>
        <v>F</v>
      </c>
      <c r="S122" s="3">
        <v>105</v>
      </c>
      <c r="T122" s="3" t="str">
        <f>IFERROR(MID(VLOOKUP($B122,Seqs!$A:$B,2,0),U122,1),"")</f>
        <v>G</v>
      </c>
      <c r="U122" s="3">
        <v>106</v>
      </c>
      <c r="V122" s="3" t="str">
        <f>IFERROR(MID(VLOOKUP($B122,Seqs!$A:$B,2,0),W122,1),"")</f>
        <v>K</v>
      </c>
      <c r="W122" s="3">
        <v>141</v>
      </c>
      <c r="X122" s="3" t="str">
        <f>IFERROR(MID(VLOOKUP($B122,Seqs!$A:$B,2,0),Y122,1),"")</f>
        <v/>
      </c>
      <c r="Y122" s="3" t="s">
        <v>129</v>
      </c>
      <c r="Z122" s="3" t="str">
        <f>IFERROR(MID(VLOOKUP($B122,Seqs!$A:$B,2,0),AA122,1),"")</f>
        <v/>
      </c>
      <c r="AA122" s="3" t="s">
        <v>129</v>
      </c>
      <c r="AB122" s="3" t="str">
        <f>IFERROR(MID(VLOOKUP($B122,Seqs!$A:$B,2,0),AC122,1),"")</f>
        <v>E</v>
      </c>
      <c r="AC122" s="3">
        <v>150</v>
      </c>
      <c r="AD122" s="3" t="str">
        <f>IFERROR(MID(VLOOKUP($B122,Seqs!$A:$B,2,0),AE122,1),"")</f>
        <v>V</v>
      </c>
      <c r="AE122" s="3">
        <v>173</v>
      </c>
      <c r="AF122" s="3" t="str">
        <f>IFERROR(MID(VLOOKUP($B122,Seqs!$A:$B,2,0),AG122,1),"")</f>
        <v>C</v>
      </c>
      <c r="AG122" s="3">
        <v>187</v>
      </c>
      <c r="AH122" s="3" t="str">
        <f>IFERROR(MID(VLOOKUP($B122,Seqs!$A:$B,2,0),AI122,1),"")</f>
        <v>I</v>
      </c>
      <c r="AI122" s="3">
        <v>189</v>
      </c>
      <c r="AJ122" s="3" t="str">
        <f>IFERROR(MID(VLOOKUP($B122,Seqs!$A:$B,2,0),AK122,1),"")</f>
        <v>N</v>
      </c>
      <c r="AK122" s="3">
        <v>199</v>
      </c>
      <c r="AL122" s="3" t="str">
        <f>IFERROR(MID(VLOOKUP($B122,Seqs!$A:$B,2,0),AM122,1),"")</f>
        <v>Q</v>
      </c>
      <c r="AM122" s="3">
        <v>237</v>
      </c>
      <c r="AN122" s="3" t="str">
        <f>IFERROR(MID(VLOOKUP($B122,Seqs!$A:$B,2,0),AO122,1),"")</f>
        <v>A</v>
      </c>
      <c r="AO122" s="3">
        <v>241</v>
      </c>
      <c r="AP122" s="3" t="str">
        <f>IFERROR(MID(VLOOKUP($B122,Seqs!$A:$B,2,0),AQ122,1),"")</f>
        <v>H</v>
      </c>
      <c r="AQ122" s="3">
        <v>278</v>
      </c>
      <c r="AR122" s="3" t="str">
        <f>IFERROR(MID(VLOOKUP($B122,Seqs!$A:$B,2,0),AS122,1),"")</f>
        <v>G</v>
      </c>
      <c r="AS122" s="3">
        <v>284</v>
      </c>
      <c r="AT122" s="3" t="str">
        <f>IFERROR(MID(VLOOKUP($B122,Seqs!$A:$B,2,0),AU122,1),"")</f>
        <v>M</v>
      </c>
      <c r="AU122" s="3">
        <v>309</v>
      </c>
      <c r="AV122" s="3" t="str">
        <f>IFERROR(MID(VLOOKUP($B122,Seqs!$A:$B,2,0),AW122,1),"")</f>
        <v>N</v>
      </c>
      <c r="AW122" s="3">
        <v>310</v>
      </c>
      <c r="AX122" s="3" t="str">
        <f>IFERROR(MID(VLOOKUP($B122,Seqs!$A:$B,2,0),AY122,1),"")</f>
        <v>C</v>
      </c>
      <c r="AY122" s="3">
        <v>322</v>
      </c>
      <c r="BA122" s="124" t="str">
        <f>VLOOKUP(B122,Classification!A:D,2,0)</f>
        <v>A</v>
      </c>
      <c r="BC122" s="1"/>
      <c r="BD122" s="5"/>
      <c r="BE122" s="57">
        <f t="shared" si="113"/>
        <v>251</v>
      </c>
      <c r="BF122" s="63" t="b">
        <f t="shared" si="114"/>
        <v>1</v>
      </c>
      <c r="BG122" s="116" t="s">
        <v>1513</v>
      </c>
      <c r="BH122" s="102" t="s">
        <v>1513</v>
      </c>
      <c r="BI122" s="102" t="s">
        <v>1513</v>
      </c>
      <c r="BJ122" s="102" t="s">
        <v>1513</v>
      </c>
      <c r="BK122" s="102" t="s">
        <v>1513</v>
      </c>
      <c r="BL122" s="102" t="s">
        <v>1513</v>
      </c>
      <c r="BM122" s="102" t="s">
        <v>1513</v>
      </c>
      <c r="BN122" s="102" t="s">
        <v>1513</v>
      </c>
      <c r="BO122" s="102" t="s">
        <v>1513</v>
      </c>
      <c r="BP122" s="102" t="s">
        <v>1513</v>
      </c>
      <c r="BQ122" s="102" t="s">
        <v>1513</v>
      </c>
      <c r="BR122" s="102" t="s">
        <v>1513</v>
      </c>
      <c r="BS122" s="116">
        <f t="shared" si="115"/>
        <v>34</v>
      </c>
      <c r="BT122" s="117">
        <f t="shared" si="116"/>
        <v>66</v>
      </c>
      <c r="BU122" s="118">
        <f t="shared" si="117"/>
        <v>70</v>
      </c>
      <c r="BV122" s="117">
        <f t="shared" si="118"/>
        <v>102</v>
      </c>
      <c r="BW122" s="118">
        <f t="shared" si="119"/>
        <v>106</v>
      </c>
      <c r="BX122" s="117" t="str">
        <f t="shared" si="120"/>
        <v>-</v>
      </c>
      <c r="BY122" s="118">
        <f t="shared" si="121"/>
        <v>150</v>
      </c>
      <c r="BZ122" s="117">
        <f t="shared" si="122"/>
        <v>187</v>
      </c>
      <c r="CA122" s="118">
        <f t="shared" si="123"/>
        <v>199</v>
      </c>
      <c r="CB122" s="117">
        <f t="shared" si="124"/>
        <v>241</v>
      </c>
      <c r="CC122" s="118">
        <f t="shared" si="125"/>
        <v>284</v>
      </c>
      <c r="CD122" s="117">
        <f t="shared" si="126"/>
        <v>310</v>
      </c>
      <c r="CE122" s="116">
        <f t="shared" si="127"/>
        <v>65</v>
      </c>
      <c r="CF122" s="117">
        <f t="shared" si="128"/>
        <v>69</v>
      </c>
      <c r="CG122" s="118">
        <f t="shared" si="129"/>
        <v>100</v>
      </c>
      <c r="CH122" s="118">
        <f t="shared" si="130"/>
        <v>105</v>
      </c>
      <c r="CI122" s="118">
        <f t="shared" si="131"/>
        <v>141</v>
      </c>
      <c r="CJ122" s="118" t="str">
        <f t="shared" si="132"/>
        <v>-</v>
      </c>
      <c r="CK122" s="118">
        <f t="shared" si="133"/>
        <v>173</v>
      </c>
      <c r="CL122" s="118">
        <f t="shared" si="134"/>
        <v>189</v>
      </c>
      <c r="CM122" s="118">
        <f t="shared" si="135"/>
        <v>237</v>
      </c>
      <c r="CN122" s="118">
        <f t="shared" si="136"/>
        <v>278</v>
      </c>
      <c r="CO122" s="118">
        <f t="shared" si="137"/>
        <v>309</v>
      </c>
      <c r="CP122" s="118">
        <f t="shared" si="138"/>
        <v>322</v>
      </c>
      <c r="CQ122" s="57">
        <f t="shared" si="139"/>
        <v>1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</row>
    <row r="123" spans="1:1026" x14ac:dyDescent="0.2">
      <c r="A123" s="3" t="str">
        <f t="shared" si="112"/>
        <v>opsd_human__wt</v>
      </c>
      <c r="B123" s="3" t="s">
        <v>532</v>
      </c>
      <c r="C123" s="3" t="s">
        <v>293</v>
      </c>
      <c r="D123" s="3" t="str">
        <f>IFERROR(MID(VLOOKUP($B123,Seqs!$A:$B,2,0),E123,1),"")</f>
        <v>P</v>
      </c>
      <c r="E123" s="3">
        <v>34</v>
      </c>
      <c r="F123" s="3" t="str">
        <f>IFERROR(MID(VLOOKUP($B123,Seqs!$A:$B,2,0),G123,1),"")</f>
        <v>H</v>
      </c>
      <c r="G123" s="3">
        <v>65</v>
      </c>
      <c r="H123" s="3" t="str">
        <f>IFERROR(MID(VLOOKUP($B123,Seqs!$A:$B,2,0),I123,1),"")</f>
        <v>K</v>
      </c>
      <c r="I123" s="57">
        <v>66</v>
      </c>
      <c r="J123" s="3" t="str">
        <f>IFERROR(MID(VLOOKUP($B123,Seqs!$A:$B,2,0),K123,1),"")</f>
        <v>R</v>
      </c>
      <c r="K123" s="57">
        <v>69</v>
      </c>
      <c r="L123" s="3" t="str">
        <f>IFERROR(MID(VLOOKUP($B123,Seqs!$A:$B,2,0),M123,1),"")</f>
        <v>T</v>
      </c>
      <c r="M123" s="3">
        <v>70</v>
      </c>
      <c r="N123" s="3" t="str">
        <f>IFERROR(MID(VLOOKUP($B123,Seqs!$A:$B,2,0),O123,1),"")</f>
        <v>H</v>
      </c>
      <c r="O123" s="3">
        <v>100</v>
      </c>
      <c r="P123" s="3" t="str">
        <f>IFERROR(MID(VLOOKUP($B123,Seqs!$A:$B,2,0),Q123,1),"")</f>
        <v>Y</v>
      </c>
      <c r="Q123" s="3">
        <v>102</v>
      </c>
      <c r="R123" s="3" t="str">
        <f>IFERROR(MID(VLOOKUP($B123,Seqs!$A:$B,2,0),S123,1),"")</f>
        <v>F</v>
      </c>
      <c r="S123" s="3">
        <v>105</v>
      </c>
      <c r="T123" s="3" t="str">
        <f>IFERROR(MID(VLOOKUP($B123,Seqs!$A:$B,2,0),U123,1),"")</f>
        <v>G</v>
      </c>
      <c r="U123" s="3">
        <v>106</v>
      </c>
      <c r="V123" s="3" t="str">
        <f>IFERROR(MID(VLOOKUP($B123,Seqs!$A:$B,2,0),W123,1),"")</f>
        <v>K</v>
      </c>
      <c r="W123" s="3">
        <v>141</v>
      </c>
      <c r="X123" s="3" t="str">
        <f>IFERROR(MID(VLOOKUP($B123,Seqs!$A:$B,2,0),Y123,1),"")</f>
        <v>P</v>
      </c>
      <c r="Y123" s="3">
        <v>142</v>
      </c>
      <c r="Z123" s="3" t="str">
        <f>IFERROR(MID(VLOOKUP($B123,Seqs!$A:$B,2,0),AA123,1),"")</f>
        <v>G</v>
      </c>
      <c r="AA123" s="3">
        <v>149</v>
      </c>
      <c r="AB123" s="3" t="str">
        <f>IFERROR(MID(VLOOKUP($B123,Seqs!$A:$B,2,0),AC123,1),"")</f>
        <v>E</v>
      </c>
      <c r="AC123" s="3">
        <v>150</v>
      </c>
      <c r="AD123" s="3" t="str">
        <f>IFERROR(MID(VLOOKUP($B123,Seqs!$A:$B,2,0),AE123,1),"")</f>
        <v>A</v>
      </c>
      <c r="AE123" s="3">
        <v>173</v>
      </c>
      <c r="AF123" s="3" t="str">
        <f>IFERROR(MID(VLOOKUP($B123,Seqs!$A:$B,2,0),AG123,1),"")</f>
        <v>C</v>
      </c>
      <c r="AG123" s="3">
        <v>187</v>
      </c>
      <c r="AH123" s="3" t="str">
        <f>IFERROR(MID(VLOOKUP($B123,Seqs!$A:$B,2,0),AI123,1),"")</f>
        <v>I</v>
      </c>
      <c r="AI123" s="3">
        <v>189</v>
      </c>
      <c r="AJ123" s="3" t="str">
        <f>IFERROR(MID(VLOOKUP($B123,Seqs!$A:$B,2,0),AK123,1),"")</f>
        <v>N</v>
      </c>
      <c r="AK123" s="3">
        <v>199</v>
      </c>
      <c r="AL123" s="3" t="str">
        <f>IFERROR(MID(VLOOKUP($B123,Seqs!$A:$B,2,0),AM123,1),"")</f>
        <v>Q</v>
      </c>
      <c r="AM123" s="3">
        <v>237</v>
      </c>
      <c r="AN123" s="3" t="str">
        <f>IFERROR(MID(VLOOKUP($B123,Seqs!$A:$B,2,0),AO123,1),"")</f>
        <v>A</v>
      </c>
      <c r="AO123" s="3">
        <v>241</v>
      </c>
      <c r="AP123" s="3" t="str">
        <f>IFERROR(MID(VLOOKUP($B123,Seqs!$A:$B,2,0),AQ123,1),"")</f>
        <v>H</v>
      </c>
      <c r="AQ123" s="3">
        <v>278</v>
      </c>
      <c r="AR123" s="3" t="str">
        <f>IFERROR(MID(VLOOKUP($B123,Seqs!$A:$B,2,0),AS123,1),"")</f>
        <v>G</v>
      </c>
      <c r="AS123" s="3">
        <v>284</v>
      </c>
      <c r="AT123" s="3" t="str">
        <f>IFERROR(MID(VLOOKUP($B123,Seqs!$A:$B,2,0),AU123,1),"")</f>
        <v>M</v>
      </c>
      <c r="AU123" s="3">
        <v>309</v>
      </c>
      <c r="AV123" s="3" t="str">
        <f>IFERROR(MID(VLOOKUP($B123,Seqs!$A:$B,2,0),AW123,1),"")</f>
        <v>N</v>
      </c>
      <c r="AW123" s="3">
        <v>310</v>
      </c>
      <c r="AX123" s="3" t="str">
        <f>IFERROR(MID(VLOOKUP($B123,Seqs!$A:$B,2,0),AY123,1),"")</f>
        <v>C</v>
      </c>
      <c r="AY123" s="3">
        <v>322</v>
      </c>
      <c r="BA123" s="124" t="str">
        <f>VLOOKUP(B123,Classification!A:D,2,0)</f>
        <v>A</v>
      </c>
      <c r="BC123" s="1"/>
      <c r="BD123" s="101">
        <f>S123-Q123+1</f>
        <v>4</v>
      </c>
      <c r="BE123" s="57">
        <f t="shared" si="113"/>
        <v>258</v>
      </c>
      <c r="BF123" s="63" t="b">
        <f t="shared" si="114"/>
        <v>1</v>
      </c>
      <c r="BG123" s="116" t="s">
        <v>1513</v>
      </c>
      <c r="BH123" s="102" t="s">
        <v>1513</v>
      </c>
      <c r="BI123" s="102" t="s">
        <v>1513</v>
      </c>
      <c r="BJ123" s="102" t="s">
        <v>1513</v>
      </c>
      <c r="BK123" s="102" t="s">
        <v>1513</v>
      </c>
      <c r="BL123" s="102" t="s">
        <v>1513</v>
      </c>
      <c r="BM123" s="102" t="s">
        <v>1513</v>
      </c>
      <c r="BN123" s="102" t="s">
        <v>1513</v>
      </c>
      <c r="BO123" s="102" t="s">
        <v>1513</v>
      </c>
      <c r="BP123" s="102" t="s">
        <v>1513</v>
      </c>
      <c r="BQ123" s="102" t="s">
        <v>1513</v>
      </c>
      <c r="BR123" s="102" t="s">
        <v>1513</v>
      </c>
      <c r="BS123" s="116">
        <f t="shared" si="115"/>
        <v>34</v>
      </c>
      <c r="BT123" s="117">
        <f t="shared" si="116"/>
        <v>66</v>
      </c>
      <c r="BU123" s="118">
        <f t="shared" si="117"/>
        <v>70</v>
      </c>
      <c r="BV123" s="117">
        <f t="shared" si="118"/>
        <v>102</v>
      </c>
      <c r="BW123" s="118">
        <f t="shared" si="119"/>
        <v>106</v>
      </c>
      <c r="BX123" s="117">
        <f t="shared" si="120"/>
        <v>142</v>
      </c>
      <c r="BY123" s="118">
        <f t="shared" si="121"/>
        <v>150</v>
      </c>
      <c r="BZ123" s="117">
        <f t="shared" si="122"/>
        <v>187</v>
      </c>
      <c r="CA123" s="118">
        <f t="shared" si="123"/>
        <v>199</v>
      </c>
      <c r="CB123" s="117">
        <f t="shared" si="124"/>
        <v>241</v>
      </c>
      <c r="CC123" s="118">
        <f t="shared" si="125"/>
        <v>284</v>
      </c>
      <c r="CD123" s="117">
        <f t="shared" si="126"/>
        <v>310</v>
      </c>
      <c r="CE123" s="116">
        <f t="shared" si="127"/>
        <v>65</v>
      </c>
      <c r="CF123" s="117">
        <f t="shared" si="128"/>
        <v>69</v>
      </c>
      <c r="CG123" s="118">
        <f t="shared" si="129"/>
        <v>100</v>
      </c>
      <c r="CH123" s="118">
        <f t="shared" si="130"/>
        <v>105</v>
      </c>
      <c r="CI123" s="118">
        <f t="shared" si="131"/>
        <v>141</v>
      </c>
      <c r="CJ123" s="118">
        <f t="shared" si="132"/>
        <v>149</v>
      </c>
      <c r="CK123" s="118">
        <f t="shared" si="133"/>
        <v>173</v>
      </c>
      <c r="CL123" s="118">
        <f t="shared" si="134"/>
        <v>189</v>
      </c>
      <c r="CM123" s="118">
        <f t="shared" si="135"/>
        <v>237</v>
      </c>
      <c r="CN123" s="118">
        <f t="shared" si="136"/>
        <v>278</v>
      </c>
      <c r="CO123" s="118">
        <f t="shared" si="137"/>
        <v>309</v>
      </c>
      <c r="CP123" s="118">
        <f t="shared" si="138"/>
        <v>322</v>
      </c>
      <c r="CQ123" s="57">
        <f t="shared" si="139"/>
        <v>1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</row>
    <row r="124" spans="1:1026" x14ac:dyDescent="0.2">
      <c r="A124" s="3" t="str">
        <f t="shared" si="112"/>
        <v>opsd_human_4ZWJ</v>
      </c>
      <c r="B124" s="3" t="s">
        <v>532</v>
      </c>
      <c r="C124" s="3" t="s">
        <v>245</v>
      </c>
      <c r="D124" s="3" t="str">
        <f>IFERROR(MID(VLOOKUP($B124,Seqs!$A:$B,2,0),E124,1),"")</f>
        <v>P</v>
      </c>
      <c r="E124" s="3">
        <v>34</v>
      </c>
      <c r="F124" s="3" t="str">
        <f>IFERROR(MID(VLOOKUP($B124,Seqs!$A:$B,2,0),G124,1),"")</f>
        <v>H</v>
      </c>
      <c r="G124" s="3">
        <v>65</v>
      </c>
      <c r="H124" s="3" t="str">
        <f>IFERROR(MID(VLOOKUP($B124,Seqs!$A:$B,2,0),I124,1),"")</f>
        <v>K</v>
      </c>
      <c r="I124" s="57">
        <v>66</v>
      </c>
      <c r="J124" s="3" t="str">
        <f>IFERROR(MID(VLOOKUP($B124,Seqs!$A:$B,2,0),K124,1),"")</f>
        <v>R</v>
      </c>
      <c r="K124" s="57">
        <v>69</v>
      </c>
      <c r="L124" s="3" t="str">
        <f>IFERROR(MID(VLOOKUP($B124,Seqs!$A:$B,2,0),M124,1),"")</f>
        <v>T</v>
      </c>
      <c r="M124" s="3">
        <v>70</v>
      </c>
      <c r="N124" s="3" t="str">
        <f>IFERROR(MID(VLOOKUP($B124,Seqs!$A:$B,2,0),O124,1),"")</f>
        <v>H</v>
      </c>
      <c r="O124" s="3">
        <v>100</v>
      </c>
      <c r="P124" s="3" t="str">
        <f>IFERROR(MID(VLOOKUP($B124,Seqs!$A:$B,2,0),Q124,1),"")</f>
        <v>Y</v>
      </c>
      <c r="Q124" s="3">
        <v>102</v>
      </c>
      <c r="R124" s="3" t="str">
        <f>IFERROR(MID(VLOOKUP($B124,Seqs!$A:$B,2,0),S124,1),"")</f>
        <v>F</v>
      </c>
      <c r="S124" s="3">
        <v>105</v>
      </c>
      <c r="T124" s="3" t="str">
        <f>IFERROR(MID(VLOOKUP($B124,Seqs!$A:$B,2,0),U124,1),"")</f>
        <v>G</v>
      </c>
      <c r="U124" s="3">
        <v>106</v>
      </c>
      <c r="V124" s="3" t="str">
        <f>IFERROR(MID(VLOOKUP($B124,Seqs!$A:$B,2,0),W124,1),"")</f>
        <v>K</v>
      </c>
      <c r="W124" s="3">
        <v>141</v>
      </c>
      <c r="X124" s="3" t="str">
        <f>IFERROR(MID(VLOOKUP($B124,Seqs!$A:$B,2,0),Y124,1),"")</f>
        <v>P</v>
      </c>
      <c r="Y124" s="3">
        <v>142</v>
      </c>
      <c r="Z124" s="3" t="str">
        <f>IFERROR(MID(VLOOKUP($B124,Seqs!$A:$B,2,0),AA124,1),"")</f>
        <v>G</v>
      </c>
      <c r="AA124" s="3">
        <v>149</v>
      </c>
      <c r="AB124" s="3" t="str">
        <f>IFERROR(MID(VLOOKUP($B124,Seqs!$A:$B,2,0),AC124,1),"")</f>
        <v>E</v>
      </c>
      <c r="AC124" s="3">
        <v>150</v>
      </c>
      <c r="AD124" s="3" t="str">
        <f>IFERROR(MID(VLOOKUP($B124,Seqs!$A:$B,2,0),AE124,1),"")</f>
        <v>A</v>
      </c>
      <c r="AE124" s="3">
        <v>173</v>
      </c>
      <c r="AF124" s="3" t="str">
        <f>IFERROR(MID(VLOOKUP($B124,Seqs!$A:$B,2,0),AG124,1),"")</f>
        <v>C</v>
      </c>
      <c r="AG124" s="3">
        <v>187</v>
      </c>
      <c r="AH124" s="3" t="str">
        <f>IFERROR(MID(VLOOKUP($B124,Seqs!$A:$B,2,0),AI124,1),"")</f>
        <v>I</v>
      </c>
      <c r="AI124" s="3">
        <v>189</v>
      </c>
      <c r="AJ124" s="3" t="str">
        <f>IFERROR(MID(VLOOKUP($B124,Seqs!$A:$B,2,0),AK124,1),"")</f>
        <v>N</v>
      </c>
      <c r="AK124" s="3">
        <v>199</v>
      </c>
      <c r="AL124" s="3" t="str">
        <f>IFERROR(MID(VLOOKUP($B124,Seqs!$A:$B,2,0),AM124,1),"")</f>
        <v>Q</v>
      </c>
      <c r="AM124" s="3">
        <v>237</v>
      </c>
      <c r="AN124" s="3" t="str">
        <f>IFERROR(MID(VLOOKUP($B124,Seqs!$A:$B,2,0),AO124,1),"")</f>
        <v>A</v>
      </c>
      <c r="AO124" s="3">
        <v>241</v>
      </c>
      <c r="AP124" s="3" t="str">
        <f>IFERROR(MID(VLOOKUP($B124,Seqs!$A:$B,2,0),AQ124,1),"")</f>
        <v>H</v>
      </c>
      <c r="AQ124" s="3">
        <v>278</v>
      </c>
      <c r="AR124" s="3" t="str">
        <f>IFERROR(MID(VLOOKUP($B124,Seqs!$A:$B,2,0),AS124,1),"")</f>
        <v>G</v>
      </c>
      <c r="AS124" s="3">
        <v>284</v>
      </c>
      <c r="AT124" s="3" t="str">
        <f>IFERROR(MID(VLOOKUP($B124,Seqs!$A:$B,2,0),AU124,1),"")</f>
        <v>M</v>
      </c>
      <c r="AU124" s="3">
        <v>309</v>
      </c>
      <c r="AV124" s="3" t="str">
        <f>IFERROR(MID(VLOOKUP($B124,Seqs!$A:$B,2,0),AW124,1),"")</f>
        <v>N</v>
      </c>
      <c r="AW124" s="3">
        <v>310</v>
      </c>
      <c r="AX124" s="3" t="str">
        <f>IFERROR(MID(VLOOKUP($B124,Seqs!$A:$B,2,0),AY124,1),"")</f>
        <v>C</v>
      </c>
      <c r="AY124" s="3">
        <v>322</v>
      </c>
      <c r="BA124" s="124" t="str">
        <f>VLOOKUP(B124,Classification!A:D,2,0)</f>
        <v>A</v>
      </c>
      <c r="BC124" s="1"/>
      <c r="BD124" s="2" t="s">
        <v>1329</v>
      </c>
      <c r="BE124" s="57">
        <f t="shared" si="113"/>
        <v>258</v>
      </c>
      <c r="BF124" s="63" t="b">
        <f t="shared" si="114"/>
        <v>1</v>
      </c>
      <c r="BG124" s="116" t="s">
        <v>1513</v>
      </c>
      <c r="BH124" s="102" t="s">
        <v>1513</v>
      </c>
      <c r="BI124" s="102" t="s">
        <v>1513</v>
      </c>
      <c r="BJ124" s="102" t="s">
        <v>1513</v>
      </c>
      <c r="BK124" s="102" t="s">
        <v>1513</v>
      </c>
      <c r="BL124" s="102" t="s">
        <v>1513</v>
      </c>
      <c r="BM124" s="102" t="s">
        <v>1513</v>
      </c>
      <c r="BN124" s="102" t="s">
        <v>1513</v>
      </c>
      <c r="BO124" s="102" t="s">
        <v>1513</v>
      </c>
      <c r="BP124" s="102" t="s">
        <v>1513</v>
      </c>
      <c r="BQ124" s="102" t="s">
        <v>1513</v>
      </c>
      <c r="BR124" s="102" t="s">
        <v>1513</v>
      </c>
      <c r="BS124" s="116">
        <f t="shared" si="115"/>
        <v>34</v>
      </c>
      <c r="BT124" s="117">
        <f t="shared" si="116"/>
        <v>66</v>
      </c>
      <c r="BU124" s="118">
        <f t="shared" si="117"/>
        <v>70</v>
      </c>
      <c r="BV124" s="117">
        <f t="shared" si="118"/>
        <v>102</v>
      </c>
      <c r="BW124" s="118">
        <f t="shared" si="119"/>
        <v>106</v>
      </c>
      <c r="BX124" s="117">
        <f t="shared" si="120"/>
        <v>142</v>
      </c>
      <c r="BY124" s="118">
        <f t="shared" si="121"/>
        <v>150</v>
      </c>
      <c r="BZ124" s="117">
        <f t="shared" si="122"/>
        <v>187</v>
      </c>
      <c r="CA124" s="118">
        <f t="shared" si="123"/>
        <v>199</v>
      </c>
      <c r="CB124" s="117">
        <f t="shared" si="124"/>
        <v>241</v>
      </c>
      <c r="CC124" s="118">
        <f t="shared" si="125"/>
        <v>284</v>
      </c>
      <c r="CD124" s="117">
        <f t="shared" si="126"/>
        <v>310</v>
      </c>
      <c r="CE124" s="116">
        <f t="shared" si="127"/>
        <v>65</v>
      </c>
      <c r="CF124" s="117">
        <f t="shared" si="128"/>
        <v>69</v>
      </c>
      <c r="CG124" s="118">
        <f t="shared" si="129"/>
        <v>100</v>
      </c>
      <c r="CH124" s="118">
        <f t="shared" si="130"/>
        <v>105</v>
      </c>
      <c r="CI124" s="118">
        <f t="shared" si="131"/>
        <v>141</v>
      </c>
      <c r="CJ124" s="118">
        <f t="shared" si="132"/>
        <v>149</v>
      </c>
      <c r="CK124" s="118">
        <f t="shared" si="133"/>
        <v>173</v>
      </c>
      <c r="CL124" s="118">
        <f t="shared" si="134"/>
        <v>189</v>
      </c>
      <c r="CM124" s="118">
        <f t="shared" si="135"/>
        <v>237</v>
      </c>
      <c r="CN124" s="118">
        <f t="shared" si="136"/>
        <v>278</v>
      </c>
      <c r="CO124" s="118">
        <f t="shared" si="137"/>
        <v>309</v>
      </c>
      <c r="CP124" s="118">
        <f t="shared" si="138"/>
        <v>322</v>
      </c>
      <c r="CQ124" s="57">
        <f t="shared" si="139"/>
        <v>1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</row>
    <row r="125" spans="1:1026" x14ac:dyDescent="0.2">
      <c r="A125" s="3" t="str">
        <f t="shared" si="112"/>
        <v>opsd_todpa__wt</v>
      </c>
      <c r="B125" s="3" t="s">
        <v>1117</v>
      </c>
      <c r="C125" s="3" t="s">
        <v>293</v>
      </c>
      <c r="D125" s="3" t="str">
        <f>IFERROR(MID(VLOOKUP($B125,Seqs!$A:$B,2,0),E125,1),"")</f>
        <v>D</v>
      </c>
      <c r="E125" s="3">
        <v>31</v>
      </c>
      <c r="F125" s="3" t="str">
        <f>IFERROR(MID(VLOOKUP($B125,Seqs!$A:$B,2,0),G125,1),"")</f>
        <v>T</v>
      </c>
      <c r="G125" s="3">
        <v>62</v>
      </c>
      <c r="H125" s="3" t="str">
        <f>IFERROR(MID(VLOOKUP($B125,Seqs!$A:$B,2,0),I125,1),"")</f>
        <v>K</v>
      </c>
      <c r="I125" s="57">
        <v>63</v>
      </c>
      <c r="J125" s="3" t="str">
        <f>IFERROR(MID(VLOOKUP($B125,Seqs!$A:$B,2,0),K125,1),"")</f>
        <v>Q</v>
      </c>
      <c r="K125" s="57">
        <v>66</v>
      </c>
      <c r="L125" s="3" t="str">
        <f>IFERROR(MID(VLOOKUP($B125,Seqs!$A:$B,2,0),M125,1),"")</f>
        <v>T</v>
      </c>
      <c r="M125" s="3">
        <v>67</v>
      </c>
      <c r="N125" s="3" t="str">
        <f>IFERROR(MID(VLOOKUP($B125,Seqs!$A:$B,2,0),O125,1),"")</f>
        <v>K</v>
      </c>
      <c r="O125" s="3">
        <v>99</v>
      </c>
      <c r="P125" s="3" t="str">
        <f>IFERROR(MID(VLOOKUP($B125,Seqs!$A:$B,2,0),Q125,1),"")</f>
        <v>K</v>
      </c>
      <c r="Q125" s="3">
        <v>100</v>
      </c>
      <c r="R125" s="3" t="str">
        <f>IFERROR(MID(VLOOKUP($B125,Seqs!$A:$B,2,0),S125,1),"")</f>
        <v>F</v>
      </c>
      <c r="S125" s="3">
        <v>103</v>
      </c>
      <c r="T125" s="3" t="str">
        <f>IFERROR(MID(VLOOKUP($B125,Seqs!$A:$B,2,0),U125,1),"")</f>
        <v>G</v>
      </c>
      <c r="U125" s="3">
        <v>104</v>
      </c>
      <c r="V125" s="3" t="str">
        <f>IFERROR(MID(VLOOKUP($B125,Seqs!$A:$B,2,0),W125,1),"")</f>
        <v>R</v>
      </c>
      <c r="W125" s="3">
        <v>139</v>
      </c>
      <c r="X125" s="3" t="str">
        <f>IFERROR(MID(VLOOKUP($B125,Seqs!$A:$B,2,0),Y125,1),"")</f>
        <v>P</v>
      </c>
      <c r="Y125" s="3">
        <v>140</v>
      </c>
      <c r="Z125" s="3" t="str">
        <f>IFERROR(MID(VLOOKUP($B125,Seqs!$A:$B,2,0),AA125,1),"")</f>
        <v>M</v>
      </c>
      <c r="AA125" s="3">
        <v>147</v>
      </c>
      <c r="AB125" s="3" t="str">
        <f>IFERROR(MID(VLOOKUP($B125,Seqs!$A:$B,2,0),AC125,1),"")</f>
        <v>H</v>
      </c>
      <c r="AC125" s="3">
        <v>149</v>
      </c>
      <c r="AD125" s="3" t="str">
        <f>IFERROR(MID(VLOOKUP($B125,Seqs!$A:$B,2,0),AE125,1),"")</f>
        <v>F</v>
      </c>
      <c r="AE125" s="3">
        <v>172</v>
      </c>
      <c r="AF125" s="3" t="str">
        <f>IFERROR(MID(VLOOKUP($B125,Seqs!$A:$B,2,0),AG125,1),"")</f>
        <v>C</v>
      </c>
      <c r="AG125" s="3">
        <v>186</v>
      </c>
      <c r="AH125" s="3" t="str">
        <f>IFERROR(MID(VLOOKUP($B125,Seqs!$A:$B,2,0),AI125,1),"")</f>
        <v>F</v>
      </c>
      <c r="AI125" s="3">
        <v>188</v>
      </c>
      <c r="AJ125" s="3" t="str">
        <f>IFERROR(MID(VLOOKUP($B125,Seqs!$A:$B,2,0),AK125,1),"")</f>
        <v>D</v>
      </c>
      <c r="AK125" s="3">
        <v>194</v>
      </c>
      <c r="AL125" s="3" t="str">
        <f>IFERROR(MID(VLOOKUP($B125,Seqs!$A:$B,2,0),AM125,1),"")</f>
        <v>K</v>
      </c>
      <c r="AM125" s="3">
        <v>239</v>
      </c>
      <c r="AN125" s="3" t="str">
        <f>IFERROR(MID(VLOOKUP($B125,Seqs!$A:$B,2,0),AO125,1),"")</f>
        <v>K</v>
      </c>
      <c r="AO125" s="3">
        <v>244</v>
      </c>
      <c r="AP125" s="3" t="str">
        <f>IFERROR(MID(VLOOKUP($B125,Seqs!$A:$B,2,0),AQ125,1),"")</f>
        <v>G</v>
      </c>
      <c r="AQ125" s="3">
        <v>287</v>
      </c>
      <c r="AR125" s="3" t="str">
        <f>IFERROR(MID(VLOOKUP($B125,Seqs!$A:$B,2,0),AS125,1),"")</f>
        <v>T</v>
      </c>
      <c r="AS125" s="3">
        <v>293</v>
      </c>
      <c r="AT125" s="3" t="str">
        <f>IFERROR(MID(VLOOKUP($B125,Seqs!$A:$B,2,0),AU125,1),"")</f>
        <v>S</v>
      </c>
      <c r="AU125" s="3">
        <v>318</v>
      </c>
      <c r="AV125" s="3" t="str">
        <f>IFERROR(MID(VLOOKUP($B125,Seqs!$A:$B,2,0),AW125,1),"")</f>
        <v>H</v>
      </c>
      <c r="AW125" s="3">
        <v>319</v>
      </c>
      <c r="AX125" s="3" t="str">
        <f>IFERROR(MID(VLOOKUP($B125,Seqs!$A:$B,2,0),AY125,1),"")</f>
        <v>F</v>
      </c>
      <c r="AY125" s="3">
        <v>330</v>
      </c>
      <c r="BA125" s="124" t="str">
        <f>VLOOKUP(B125,Classification!A:D,2,0)</f>
        <v>A</v>
      </c>
      <c r="BC125" s="1"/>
      <c r="BD125" s="72">
        <f>S125-Q125+1</f>
        <v>4</v>
      </c>
      <c r="BE125" s="57">
        <f t="shared" si="113"/>
        <v>272</v>
      </c>
      <c r="BF125" s="63" t="b">
        <f t="shared" si="114"/>
        <v>1</v>
      </c>
      <c r="BG125" s="116" t="s">
        <v>1513</v>
      </c>
      <c r="BH125" s="102" t="s">
        <v>1513</v>
      </c>
      <c r="BI125" s="102" t="s">
        <v>1513</v>
      </c>
      <c r="BJ125" s="102" t="s">
        <v>1513</v>
      </c>
      <c r="BK125" s="102" t="s">
        <v>1513</v>
      </c>
      <c r="BL125" s="102" t="s">
        <v>1513</v>
      </c>
      <c r="BM125" s="102" t="s">
        <v>1513</v>
      </c>
      <c r="BN125" s="102" t="s">
        <v>1513</v>
      </c>
      <c r="BO125" s="102" t="s">
        <v>1513</v>
      </c>
      <c r="BP125" s="102" t="s">
        <v>1513</v>
      </c>
      <c r="BQ125" s="102" t="s">
        <v>1513</v>
      </c>
      <c r="BR125" s="102" t="s">
        <v>1513</v>
      </c>
      <c r="BS125" s="116">
        <f t="shared" si="115"/>
        <v>31</v>
      </c>
      <c r="BT125" s="117">
        <f t="shared" si="116"/>
        <v>63</v>
      </c>
      <c r="BU125" s="118">
        <f t="shared" si="117"/>
        <v>67</v>
      </c>
      <c r="BV125" s="117">
        <f t="shared" si="118"/>
        <v>100</v>
      </c>
      <c r="BW125" s="118">
        <f t="shared" si="119"/>
        <v>104</v>
      </c>
      <c r="BX125" s="117">
        <f t="shared" si="120"/>
        <v>140</v>
      </c>
      <c r="BY125" s="118">
        <f t="shared" si="121"/>
        <v>149</v>
      </c>
      <c r="BZ125" s="117">
        <f t="shared" si="122"/>
        <v>186</v>
      </c>
      <c r="CA125" s="118">
        <f t="shared" si="123"/>
        <v>194</v>
      </c>
      <c r="CB125" s="117">
        <f t="shared" si="124"/>
        <v>244</v>
      </c>
      <c r="CC125" s="118">
        <f t="shared" si="125"/>
        <v>293</v>
      </c>
      <c r="CD125" s="117">
        <f t="shared" si="126"/>
        <v>319</v>
      </c>
      <c r="CE125" s="116">
        <f t="shared" si="127"/>
        <v>62</v>
      </c>
      <c r="CF125" s="117">
        <f t="shared" si="128"/>
        <v>66</v>
      </c>
      <c r="CG125" s="118">
        <f t="shared" si="129"/>
        <v>99</v>
      </c>
      <c r="CH125" s="118">
        <f t="shared" si="130"/>
        <v>103</v>
      </c>
      <c r="CI125" s="118">
        <f t="shared" si="131"/>
        <v>139</v>
      </c>
      <c r="CJ125" s="118">
        <f t="shared" si="132"/>
        <v>147</v>
      </c>
      <c r="CK125" s="118">
        <f t="shared" si="133"/>
        <v>172</v>
      </c>
      <c r="CL125" s="118">
        <f t="shared" si="134"/>
        <v>188</v>
      </c>
      <c r="CM125" s="118">
        <f t="shared" si="135"/>
        <v>239</v>
      </c>
      <c r="CN125" s="118">
        <f t="shared" si="136"/>
        <v>287</v>
      </c>
      <c r="CO125" s="118">
        <f t="shared" si="137"/>
        <v>318</v>
      </c>
      <c r="CP125" s="118">
        <f t="shared" si="138"/>
        <v>330</v>
      </c>
      <c r="CQ125" s="57">
        <f t="shared" si="139"/>
        <v>1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</row>
    <row r="126" spans="1:1026" x14ac:dyDescent="0.2">
      <c r="A126" s="3" t="str">
        <f t="shared" si="112"/>
        <v>opsd_todpa_2Z73</v>
      </c>
      <c r="B126" s="3" t="s">
        <v>1117</v>
      </c>
      <c r="C126" s="3" t="s">
        <v>289</v>
      </c>
      <c r="D126" s="3" t="str">
        <f>IFERROR(MID(VLOOKUP($B126,Seqs!$A:$B,2,0),E126,1),"")</f>
        <v>D</v>
      </c>
      <c r="E126" s="3">
        <v>31</v>
      </c>
      <c r="F126" s="3" t="str">
        <f>IFERROR(MID(VLOOKUP($B126,Seqs!$A:$B,2,0),G126,1),"")</f>
        <v>T</v>
      </c>
      <c r="G126" s="3">
        <v>62</v>
      </c>
      <c r="H126" s="3" t="str">
        <f>IFERROR(MID(VLOOKUP($B126,Seqs!$A:$B,2,0),I126,1),"")</f>
        <v>K</v>
      </c>
      <c r="I126" s="57">
        <v>63</v>
      </c>
      <c r="J126" s="3" t="str">
        <f>IFERROR(MID(VLOOKUP($B126,Seqs!$A:$B,2,0),K126,1),"")</f>
        <v>Q</v>
      </c>
      <c r="K126" s="57">
        <v>66</v>
      </c>
      <c r="L126" s="3" t="str">
        <f>IFERROR(MID(VLOOKUP($B126,Seqs!$A:$B,2,0),M126,1),"")</f>
        <v>T</v>
      </c>
      <c r="M126" s="3">
        <v>67</v>
      </c>
      <c r="N126" s="3" t="str">
        <f>IFERROR(MID(VLOOKUP($B126,Seqs!$A:$B,2,0),O126,1),"")</f>
        <v>K</v>
      </c>
      <c r="O126" s="3">
        <v>99</v>
      </c>
      <c r="P126" s="3" t="str">
        <f>IFERROR(MID(VLOOKUP($B126,Seqs!$A:$B,2,0),Q126,1),"")</f>
        <v>K</v>
      </c>
      <c r="Q126" s="3">
        <v>100</v>
      </c>
      <c r="R126" s="3" t="str">
        <f>IFERROR(MID(VLOOKUP($B126,Seqs!$A:$B,2,0),S126,1),"")</f>
        <v>F</v>
      </c>
      <c r="S126" s="3">
        <v>103</v>
      </c>
      <c r="T126" s="3" t="str">
        <f>IFERROR(MID(VLOOKUP($B126,Seqs!$A:$B,2,0),U126,1),"")</f>
        <v>G</v>
      </c>
      <c r="U126" s="3">
        <v>104</v>
      </c>
      <c r="V126" s="3" t="str">
        <f>IFERROR(MID(VLOOKUP($B126,Seqs!$A:$B,2,0),W126,1),"")</f>
        <v>R</v>
      </c>
      <c r="W126" s="3">
        <v>139</v>
      </c>
      <c r="X126" s="3" t="str">
        <f>IFERROR(MID(VLOOKUP($B126,Seqs!$A:$B,2,0),Y126,1),"")</f>
        <v/>
      </c>
      <c r="Y126" s="3" t="s">
        <v>129</v>
      </c>
      <c r="Z126" s="3" t="str">
        <f>IFERROR(MID(VLOOKUP($B126,Seqs!$A:$B,2,0),AA126,1),"")</f>
        <v/>
      </c>
      <c r="AA126" s="3" t="s">
        <v>129</v>
      </c>
      <c r="AB126" s="3" t="str">
        <f>IFERROR(MID(VLOOKUP($B126,Seqs!$A:$B,2,0),AC126,1),"")</f>
        <v>H</v>
      </c>
      <c r="AC126" s="3">
        <v>149</v>
      </c>
      <c r="AD126" s="3" t="str">
        <f>IFERROR(MID(VLOOKUP($B126,Seqs!$A:$B,2,0),AE126,1),"")</f>
        <v>F</v>
      </c>
      <c r="AE126" s="3">
        <v>172</v>
      </c>
      <c r="AF126" s="3" t="str">
        <f>IFERROR(MID(VLOOKUP($B126,Seqs!$A:$B,2,0),AG126,1),"")</f>
        <v>C</v>
      </c>
      <c r="AG126" s="3">
        <v>186</v>
      </c>
      <c r="AH126" s="3" t="str">
        <f>IFERROR(MID(VLOOKUP($B126,Seqs!$A:$B,2,0),AI126,1),"")</f>
        <v>F</v>
      </c>
      <c r="AI126" s="3">
        <v>188</v>
      </c>
      <c r="AJ126" s="3" t="str">
        <f>IFERROR(MID(VLOOKUP($B126,Seqs!$A:$B,2,0),AK126,1),"")</f>
        <v>D</v>
      </c>
      <c r="AK126" s="3">
        <v>194</v>
      </c>
      <c r="AL126" s="3" t="str">
        <f>IFERROR(MID(VLOOKUP($B126,Seqs!$A:$B,2,0),AM126,1),"")</f>
        <v>K</v>
      </c>
      <c r="AM126" s="3">
        <v>239</v>
      </c>
      <c r="AN126" s="3" t="str">
        <f>IFERROR(MID(VLOOKUP($B126,Seqs!$A:$B,2,0),AO126,1),"")</f>
        <v>K</v>
      </c>
      <c r="AO126" s="3">
        <v>244</v>
      </c>
      <c r="AP126" s="3" t="str">
        <f>IFERROR(MID(VLOOKUP($B126,Seqs!$A:$B,2,0),AQ126,1),"")</f>
        <v>G</v>
      </c>
      <c r="AQ126" s="3">
        <v>287</v>
      </c>
      <c r="AR126" s="3" t="str">
        <f>IFERROR(MID(VLOOKUP($B126,Seqs!$A:$B,2,0),AS126,1),"")</f>
        <v>T</v>
      </c>
      <c r="AS126" s="3">
        <v>293</v>
      </c>
      <c r="AT126" s="3" t="str">
        <f>IFERROR(MID(VLOOKUP($B126,Seqs!$A:$B,2,0),AU126,1),"")</f>
        <v>S</v>
      </c>
      <c r="AU126" s="3">
        <v>318</v>
      </c>
      <c r="AV126" s="3" t="str">
        <f>IFERROR(MID(VLOOKUP($B126,Seqs!$A:$B,2,0),AW126,1),"")</f>
        <v>H</v>
      </c>
      <c r="AW126" s="3">
        <v>319</v>
      </c>
      <c r="AX126" s="3" t="str">
        <f>IFERROR(MID(VLOOKUP($B126,Seqs!$A:$B,2,0),AY126,1),"")</f>
        <v>F</v>
      </c>
      <c r="AY126" s="3">
        <v>330</v>
      </c>
      <c r="BA126" s="124" t="str">
        <f>VLOOKUP(B126,Classification!A:D,2,0)</f>
        <v>A</v>
      </c>
      <c r="BC126" s="1"/>
      <c r="BD126" s="4"/>
      <c r="BE126" s="57">
        <f t="shared" si="113"/>
        <v>265</v>
      </c>
      <c r="BF126" s="63" t="b">
        <f t="shared" si="114"/>
        <v>1</v>
      </c>
      <c r="BG126" s="116" t="s">
        <v>1513</v>
      </c>
      <c r="BH126" s="102" t="s">
        <v>1513</v>
      </c>
      <c r="BI126" s="102" t="s">
        <v>1513</v>
      </c>
      <c r="BJ126" s="102" t="s">
        <v>1513</v>
      </c>
      <c r="BK126" s="102" t="s">
        <v>1513</v>
      </c>
      <c r="BL126" s="102" t="s">
        <v>1513</v>
      </c>
      <c r="BM126" s="102" t="s">
        <v>1513</v>
      </c>
      <c r="BN126" s="102" t="s">
        <v>1513</v>
      </c>
      <c r="BO126" s="102" t="s">
        <v>1513</v>
      </c>
      <c r="BP126" s="102" t="s">
        <v>1513</v>
      </c>
      <c r="BQ126" s="102" t="s">
        <v>1513</v>
      </c>
      <c r="BR126" s="102" t="s">
        <v>1513</v>
      </c>
      <c r="BS126" s="116">
        <f t="shared" si="115"/>
        <v>31</v>
      </c>
      <c r="BT126" s="117">
        <f t="shared" si="116"/>
        <v>63</v>
      </c>
      <c r="BU126" s="118">
        <f t="shared" si="117"/>
        <v>67</v>
      </c>
      <c r="BV126" s="117">
        <f t="shared" si="118"/>
        <v>100</v>
      </c>
      <c r="BW126" s="118">
        <f t="shared" si="119"/>
        <v>104</v>
      </c>
      <c r="BX126" s="117" t="str">
        <f t="shared" si="120"/>
        <v>-</v>
      </c>
      <c r="BY126" s="118">
        <f t="shared" si="121"/>
        <v>149</v>
      </c>
      <c r="BZ126" s="117">
        <f t="shared" si="122"/>
        <v>186</v>
      </c>
      <c r="CA126" s="118">
        <f t="shared" si="123"/>
        <v>194</v>
      </c>
      <c r="CB126" s="117">
        <f t="shared" si="124"/>
        <v>244</v>
      </c>
      <c r="CC126" s="118">
        <f t="shared" si="125"/>
        <v>293</v>
      </c>
      <c r="CD126" s="117">
        <f t="shared" si="126"/>
        <v>319</v>
      </c>
      <c r="CE126" s="116">
        <f t="shared" si="127"/>
        <v>62</v>
      </c>
      <c r="CF126" s="117">
        <f t="shared" si="128"/>
        <v>66</v>
      </c>
      <c r="CG126" s="118">
        <f t="shared" si="129"/>
        <v>99</v>
      </c>
      <c r="CH126" s="118">
        <f t="shared" si="130"/>
        <v>103</v>
      </c>
      <c r="CI126" s="118">
        <f t="shared" si="131"/>
        <v>139</v>
      </c>
      <c r="CJ126" s="118" t="str">
        <f t="shared" si="132"/>
        <v>-</v>
      </c>
      <c r="CK126" s="118">
        <f t="shared" si="133"/>
        <v>172</v>
      </c>
      <c r="CL126" s="118">
        <f t="shared" si="134"/>
        <v>188</v>
      </c>
      <c r="CM126" s="118">
        <f t="shared" si="135"/>
        <v>239</v>
      </c>
      <c r="CN126" s="118">
        <f t="shared" si="136"/>
        <v>287</v>
      </c>
      <c r="CO126" s="118">
        <f t="shared" si="137"/>
        <v>318</v>
      </c>
      <c r="CP126" s="118">
        <f t="shared" si="138"/>
        <v>330</v>
      </c>
      <c r="CQ126" s="57">
        <f t="shared" si="139"/>
        <v>1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</row>
    <row r="127" spans="1:1026" x14ac:dyDescent="0.2">
      <c r="A127" s="3" t="str">
        <f t="shared" si="112"/>
        <v>ox1r_human__wt</v>
      </c>
      <c r="B127" s="3" t="s">
        <v>1393</v>
      </c>
      <c r="C127" s="3" t="s">
        <v>293</v>
      </c>
      <c r="D127" s="3" t="str">
        <f>IFERROR(MID(VLOOKUP($B127,Seqs!$A:$B,2,0),E127,1),"")</f>
        <v>E</v>
      </c>
      <c r="E127" s="3">
        <v>46</v>
      </c>
      <c r="F127" s="3" t="str">
        <f>IFERROR(MID(VLOOKUP($B127,Seqs!$A:$B,2,0),G127,1),"")</f>
        <v>N</v>
      </c>
      <c r="G127" s="3">
        <v>74</v>
      </c>
      <c r="H127" s="3" t="str">
        <f>IFERROR(MID(VLOOKUP($B127,Seqs!$A:$B,2,0),I127,1),"")</f>
        <v>H</v>
      </c>
      <c r="I127" s="57">
        <v>75</v>
      </c>
      <c r="J127" s="3" t="str">
        <f>IFERROR(MID(VLOOKUP($B127,Seqs!$A:$B,2,0),K127,1),"")</f>
        <v>R</v>
      </c>
      <c r="K127" s="57">
        <v>78</v>
      </c>
      <c r="L127" s="3" t="str">
        <f>IFERROR(MID(VLOOKUP($B127,Seqs!$A:$B,2,0),M127,1),"")</f>
        <v>T</v>
      </c>
      <c r="M127" s="3">
        <v>79</v>
      </c>
      <c r="N127" s="3" t="str">
        <f>IFERROR(MID(VLOOKUP($B127,Seqs!$A:$B,2,0),O127,1),"")</f>
        <v>T</v>
      </c>
      <c r="O127" s="3">
        <v>109</v>
      </c>
      <c r="P127" s="3" t="str">
        <f>IFERROR(MID(VLOOKUP($B127,Seqs!$A:$B,2,0),Q127,1),"")</f>
        <v>S</v>
      </c>
      <c r="Q127" s="3">
        <v>111</v>
      </c>
      <c r="R127" s="3" t="str">
        <f>IFERROR(MID(VLOOKUP($B127,Seqs!$A:$B,2,0),S127,1),"")</f>
        <v>F</v>
      </c>
      <c r="S127" s="3">
        <v>114</v>
      </c>
      <c r="T127" s="3" t="str">
        <f>IFERROR(MID(VLOOKUP($B127,Seqs!$A:$B,2,0),U127,1),"")</f>
        <v>G</v>
      </c>
      <c r="U127" s="3">
        <v>115</v>
      </c>
      <c r="V127" s="3" t="str">
        <f>IFERROR(MID(VLOOKUP($B127,Seqs!$A:$B,2,0),W127,1),"")</f>
        <v>H</v>
      </c>
      <c r="W127" s="3">
        <v>150</v>
      </c>
      <c r="X127" s="3" t="str">
        <f>IFERROR(MID(VLOOKUP($B127,Seqs!$A:$B,2,0),Y127,1),"")</f>
        <v>P</v>
      </c>
      <c r="Y127" s="3">
        <v>151</v>
      </c>
      <c r="Z127" s="3" t="str">
        <f>IFERROR(MID(VLOOKUP($B127,Seqs!$A:$B,2,0),AA127,1),"")</f>
        <v>T</v>
      </c>
      <c r="AA127" s="119">
        <v>157</v>
      </c>
      <c r="AB127" s="3" t="str">
        <f>IFERROR(MID(VLOOKUP($B127,Seqs!$A:$B,2,0),AC127,1),"")</f>
        <v>A</v>
      </c>
      <c r="AC127" s="3">
        <v>158</v>
      </c>
      <c r="AD127" s="3" t="str">
        <f>IFERROR(MID(VLOOKUP($B127,Seqs!$A:$B,2,0),AE127,1),"")</f>
        <v>M</v>
      </c>
      <c r="AE127" s="3">
        <v>183</v>
      </c>
      <c r="AF127" s="3" t="str">
        <f>IFERROR(MID(VLOOKUP($B127,Seqs!$A:$B,2,0),AG127,1),"")</f>
        <v>C</v>
      </c>
      <c r="AG127" s="3">
        <v>202</v>
      </c>
      <c r="AH127" s="3" t="str">
        <f>IFERROR(MID(VLOOKUP($B127,Seqs!$A:$B,2,0),AI127,1),"")</f>
        <v>E</v>
      </c>
      <c r="AI127" s="3">
        <v>204</v>
      </c>
      <c r="AJ127" s="3" t="str">
        <f>IFERROR(MID(VLOOKUP($B127,Seqs!$A:$B,2,0),AK127,1),"")</f>
        <v>D</v>
      </c>
      <c r="AK127" s="3">
        <v>209</v>
      </c>
      <c r="AL127" s="3" t="str">
        <f>IFERROR(MID(VLOOKUP($B127,Seqs!$A:$B,2,0),AM127,1),"")</f>
        <v>P</v>
      </c>
      <c r="AM127" s="3">
        <v>248</v>
      </c>
      <c r="AN127" s="3" t="str">
        <f>IFERROR(MID(VLOOKUP($B127,Seqs!$A:$B,2,0),AO127,1),"")</f>
        <v>F</v>
      </c>
      <c r="AO127" s="3">
        <v>283</v>
      </c>
      <c r="AP127" s="3" t="str">
        <f>IFERROR(MID(VLOOKUP($B127,Seqs!$A:$B,2,0),AQ127,1),"")</f>
        <v>F</v>
      </c>
      <c r="AQ127" s="3">
        <v>324</v>
      </c>
      <c r="AR127" s="3" t="str">
        <f>IFERROR(MID(VLOOKUP($B127,Seqs!$A:$B,2,0),AS127,1),"")</f>
        <v>R</v>
      </c>
      <c r="AS127" s="3">
        <v>333</v>
      </c>
      <c r="AT127" s="3" t="str">
        <f>IFERROR(MID(VLOOKUP($B127,Seqs!$A:$B,2,0),AU127,1),"")</f>
        <v>L</v>
      </c>
      <c r="AU127" s="3">
        <v>361</v>
      </c>
      <c r="AV127" s="3" t="str">
        <f>IFERROR(MID(VLOOKUP($B127,Seqs!$A:$B,2,0),AW127,1),"")</f>
        <v>S</v>
      </c>
      <c r="AW127" s="3">
        <v>362</v>
      </c>
      <c r="AX127" s="3" t="str">
        <f>IFERROR(MID(VLOOKUP($B127,Seqs!$A:$B,2,0),AY127,1),"")</f>
        <v>F</v>
      </c>
      <c r="AY127" s="3">
        <v>373</v>
      </c>
      <c r="BA127" s="124" t="str">
        <f>VLOOKUP(B127,Classification!A:D,2,0)</f>
        <v>A</v>
      </c>
      <c r="BC127" s="1"/>
      <c r="BD127" s="101">
        <f>S127-Q127+1</f>
        <v>4</v>
      </c>
      <c r="BE127" s="57">
        <f t="shared" si="113"/>
        <v>263</v>
      </c>
      <c r="BF127" s="91" t="b">
        <f t="shared" si="114"/>
        <v>1</v>
      </c>
      <c r="BG127" s="102" t="s">
        <v>1513</v>
      </c>
      <c r="BH127" s="102" t="s">
        <v>1513</v>
      </c>
      <c r="BI127" s="102" t="s">
        <v>1513</v>
      </c>
      <c r="BJ127" s="102" t="s">
        <v>1513</v>
      </c>
      <c r="BK127" s="102" t="s">
        <v>1513</v>
      </c>
      <c r="BL127" s="102" t="s">
        <v>1513</v>
      </c>
      <c r="BM127" s="102" t="s">
        <v>1513</v>
      </c>
      <c r="BN127" s="102" t="s">
        <v>1513</v>
      </c>
      <c r="BO127" s="102" t="s">
        <v>1513</v>
      </c>
      <c r="BP127" s="102" t="s">
        <v>1513</v>
      </c>
      <c r="BQ127" s="102" t="s">
        <v>1513</v>
      </c>
      <c r="BR127" s="102" t="s">
        <v>1513</v>
      </c>
      <c r="BS127" s="102">
        <f t="shared" si="115"/>
        <v>46</v>
      </c>
      <c r="BT127" s="117">
        <f t="shared" si="116"/>
        <v>75</v>
      </c>
      <c r="BU127" s="118">
        <f t="shared" si="117"/>
        <v>79</v>
      </c>
      <c r="BV127" s="117">
        <f t="shared" si="118"/>
        <v>111</v>
      </c>
      <c r="BW127" s="118">
        <f t="shared" si="119"/>
        <v>115</v>
      </c>
      <c r="BX127" s="117">
        <f t="shared" si="120"/>
        <v>151</v>
      </c>
      <c r="BY127" s="118">
        <f t="shared" si="121"/>
        <v>158</v>
      </c>
      <c r="BZ127" s="117">
        <f t="shared" si="122"/>
        <v>202</v>
      </c>
      <c r="CA127" s="118">
        <f t="shared" si="123"/>
        <v>209</v>
      </c>
      <c r="CB127" s="117">
        <f t="shared" si="124"/>
        <v>283</v>
      </c>
      <c r="CC127" s="118">
        <f t="shared" si="125"/>
        <v>333</v>
      </c>
      <c r="CD127" s="117">
        <f t="shared" si="126"/>
        <v>362</v>
      </c>
      <c r="CE127" s="102">
        <f t="shared" si="127"/>
        <v>74</v>
      </c>
      <c r="CF127" s="117">
        <f t="shared" si="128"/>
        <v>78</v>
      </c>
      <c r="CG127" s="118">
        <f t="shared" si="129"/>
        <v>109</v>
      </c>
      <c r="CH127" s="118">
        <f t="shared" si="130"/>
        <v>114</v>
      </c>
      <c r="CI127" s="118">
        <f t="shared" si="131"/>
        <v>150</v>
      </c>
      <c r="CJ127" s="118">
        <f t="shared" si="132"/>
        <v>157</v>
      </c>
      <c r="CK127" s="118">
        <f t="shared" si="133"/>
        <v>183</v>
      </c>
      <c r="CL127" s="118">
        <f t="shared" si="134"/>
        <v>204</v>
      </c>
      <c r="CM127" s="118">
        <f t="shared" si="135"/>
        <v>248</v>
      </c>
      <c r="CN127" s="118">
        <f t="shared" si="136"/>
        <v>324</v>
      </c>
      <c r="CO127" s="118">
        <f t="shared" si="137"/>
        <v>361</v>
      </c>
      <c r="CP127" s="118">
        <f t="shared" si="138"/>
        <v>373</v>
      </c>
      <c r="CQ127" s="57">
        <f t="shared" si="139"/>
        <v>1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</row>
    <row r="128" spans="1:1026" x14ac:dyDescent="0.2">
      <c r="A128" s="3" t="str">
        <f t="shared" si="112"/>
        <v>ox1r_human_4ZJ8</v>
      </c>
      <c r="B128" s="3" t="s">
        <v>1393</v>
      </c>
      <c r="C128" s="3" t="s">
        <v>281</v>
      </c>
      <c r="D128" s="3" t="str">
        <f>IFERROR(MID(VLOOKUP($B128,Seqs!$A:$B,2,0),E128,1),"")</f>
        <v>E</v>
      </c>
      <c r="E128" s="3">
        <v>46</v>
      </c>
      <c r="F128" s="3" t="str">
        <f>IFERROR(MID(VLOOKUP($B128,Seqs!$A:$B,2,0),G128,1),"")</f>
        <v>N</v>
      </c>
      <c r="G128" s="3">
        <v>74</v>
      </c>
      <c r="H128" s="3" t="str">
        <f>IFERROR(MID(VLOOKUP($B128,Seqs!$A:$B,2,0),I128,1),"")</f>
        <v>H</v>
      </c>
      <c r="I128" s="57">
        <v>75</v>
      </c>
      <c r="J128" s="3" t="str">
        <f>IFERROR(MID(VLOOKUP($B128,Seqs!$A:$B,2,0),K128,1),"")</f>
        <v>R</v>
      </c>
      <c r="K128" s="57">
        <v>78</v>
      </c>
      <c r="L128" s="3" t="str">
        <f>IFERROR(MID(VLOOKUP($B128,Seqs!$A:$B,2,0),M128,1),"")</f>
        <v>T</v>
      </c>
      <c r="M128" s="3">
        <v>79</v>
      </c>
      <c r="N128" s="3" t="str">
        <f>IFERROR(MID(VLOOKUP($B128,Seqs!$A:$B,2,0),O128,1),"")</f>
        <v>T</v>
      </c>
      <c r="O128" s="3">
        <v>109</v>
      </c>
      <c r="P128" s="3" t="str">
        <f>IFERROR(MID(VLOOKUP($B128,Seqs!$A:$B,2,0),Q128,1),"")</f>
        <v>S</v>
      </c>
      <c r="Q128" s="3">
        <v>111</v>
      </c>
      <c r="R128" s="3" t="str">
        <f>IFERROR(MID(VLOOKUP($B128,Seqs!$A:$B,2,0),S128,1),"")</f>
        <v>F</v>
      </c>
      <c r="S128" s="3">
        <v>114</v>
      </c>
      <c r="T128" s="3" t="str">
        <f>IFERROR(MID(VLOOKUP($B128,Seqs!$A:$B,2,0),U128,1),"")</f>
        <v>G</v>
      </c>
      <c r="U128" s="3">
        <v>115</v>
      </c>
      <c r="V128" s="3" t="str">
        <f>IFERROR(MID(VLOOKUP($B128,Seqs!$A:$B,2,0),W128,1),"")</f>
        <v>H</v>
      </c>
      <c r="W128" s="3">
        <v>150</v>
      </c>
      <c r="X128" s="3" t="str">
        <f>IFERROR(MID(VLOOKUP($B128,Seqs!$A:$B,2,0),Y128,1),"")</f>
        <v/>
      </c>
      <c r="Y128" s="3" t="s">
        <v>129</v>
      </c>
      <c r="Z128" s="3" t="str">
        <f>IFERROR(MID(VLOOKUP($B128,Seqs!$A:$B,2,0),AA128,1),"")</f>
        <v/>
      </c>
      <c r="AA128" s="3" t="s">
        <v>129</v>
      </c>
      <c r="AB128" s="3" t="str">
        <f>IFERROR(MID(VLOOKUP($B128,Seqs!$A:$B,2,0),AC128,1),"")</f>
        <v>A</v>
      </c>
      <c r="AC128" s="3">
        <v>158</v>
      </c>
      <c r="AD128" s="3" t="str">
        <f>IFERROR(MID(VLOOKUP($B128,Seqs!$A:$B,2,0),AE128,1),"")</f>
        <v>M</v>
      </c>
      <c r="AE128" s="3">
        <v>183</v>
      </c>
      <c r="AF128" s="3" t="str">
        <f>IFERROR(MID(VLOOKUP($B128,Seqs!$A:$B,2,0),AG128,1),"")</f>
        <v>C</v>
      </c>
      <c r="AG128" s="3">
        <v>202</v>
      </c>
      <c r="AH128" s="3" t="str">
        <f>IFERROR(MID(VLOOKUP($B128,Seqs!$A:$B,2,0),AI128,1),"")</f>
        <v>E</v>
      </c>
      <c r="AI128" s="3">
        <v>204</v>
      </c>
      <c r="AJ128" s="3" t="str">
        <f>IFERROR(MID(VLOOKUP($B128,Seqs!$A:$B,2,0),AK128,1),"")</f>
        <v>D</v>
      </c>
      <c r="AK128" s="3">
        <v>209</v>
      </c>
      <c r="AL128" s="3" t="str">
        <f>IFERROR(MID(VLOOKUP($B128,Seqs!$A:$B,2,0),AM128,1),"")</f>
        <v>L</v>
      </c>
      <c r="AM128" s="3">
        <v>242</v>
      </c>
      <c r="AN128" s="3" t="str">
        <f>IFERROR(MID(VLOOKUP($B128,Seqs!$A:$B,2,0),AO128,1),"")</f>
        <v>K</v>
      </c>
      <c r="AO128" s="3">
        <v>288</v>
      </c>
      <c r="AP128" s="3" t="str">
        <f>IFERROR(MID(VLOOKUP($B128,Seqs!$A:$B,2,0),AQ128,1),"")</f>
        <v>F</v>
      </c>
      <c r="AQ128" s="3">
        <v>324</v>
      </c>
      <c r="AR128" s="3" t="str">
        <f>IFERROR(MID(VLOOKUP($B128,Seqs!$A:$B,2,0),AS128,1),"")</f>
        <v>R</v>
      </c>
      <c r="AS128" s="3">
        <v>333</v>
      </c>
      <c r="AT128" s="3" t="str">
        <f>IFERROR(MID(VLOOKUP($B128,Seqs!$A:$B,2,0),AU128,1),"")</f>
        <v>L</v>
      </c>
      <c r="AU128" s="3">
        <v>361</v>
      </c>
      <c r="AV128" s="3" t="str">
        <f>IFERROR(MID(VLOOKUP($B128,Seqs!$A:$B,2,0),AW128,1),"")</f>
        <v>S</v>
      </c>
      <c r="AW128" s="3">
        <v>362</v>
      </c>
      <c r="AX128" s="3" t="str">
        <f>IFERROR(MID(VLOOKUP($B128,Seqs!$A:$B,2,0),AY128,1),"")</f>
        <v>F</v>
      </c>
      <c r="AY128" s="3">
        <v>373</v>
      </c>
      <c r="BA128" s="124" t="str">
        <f>VLOOKUP(B128,Classification!A:D,2,0)</f>
        <v>A</v>
      </c>
      <c r="BC128" s="1"/>
      <c r="BD128" s="1"/>
      <c r="BE128" s="57">
        <f t="shared" si="113"/>
        <v>246</v>
      </c>
      <c r="BF128" s="91" t="b">
        <f t="shared" si="114"/>
        <v>1</v>
      </c>
      <c r="BG128" s="102" t="s">
        <v>1513</v>
      </c>
      <c r="BH128" s="102" t="s">
        <v>1513</v>
      </c>
      <c r="BI128" s="102" t="s">
        <v>1513</v>
      </c>
      <c r="BJ128" s="102" t="s">
        <v>1513</v>
      </c>
      <c r="BK128" s="102" t="s">
        <v>1513</v>
      </c>
      <c r="BL128" s="102" t="s">
        <v>1513</v>
      </c>
      <c r="BM128" s="102" t="s">
        <v>1513</v>
      </c>
      <c r="BN128" s="102" t="s">
        <v>1513</v>
      </c>
      <c r="BO128" s="102" t="s">
        <v>1513</v>
      </c>
      <c r="BP128" s="102" t="s">
        <v>1513</v>
      </c>
      <c r="BQ128" s="102" t="s">
        <v>1513</v>
      </c>
      <c r="BR128" s="102" t="s">
        <v>1513</v>
      </c>
      <c r="BS128" s="102">
        <f t="shared" si="115"/>
        <v>46</v>
      </c>
      <c r="BT128" s="117">
        <f t="shared" si="116"/>
        <v>75</v>
      </c>
      <c r="BU128" s="118">
        <f t="shared" si="117"/>
        <v>79</v>
      </c>
      <c r="BV128" s="117">
        <f t="shared" si="118"/>
        <v>111</v>
      </c>
      <c r="BW128" s="118">
        <f t="shared" si="119"/>
        <v>115</v>
      </c>
      <c r="BX128" s="117" t="str">
        <f t="shared" si="120"/>
        <v>-</v>
      </c>
      <c r="BY128" s="118">
        <f t="shared" si="121"/>
        <v>158</v>
      </c>
      <c r="BZ128" s="117">
        <f t="shared" si="122"/>
        <v>202</v>
      </c>
      <c r="CA128" s="118">
        <f t="shared" si="123"/>
        <v>209</v>
      </c>
      <c r="CB128" s="117">
        <f t="shared" si="124"/>
        <v>288</v>
      </c>
      <c r="CC128" s="118">
        <f t="shared" si="125"/>
        <v>333</v>
      </c>
      <c r="CD128" s="117">
        <f t="shared" si="126"/>
        <v>362</v>
      </c>
      <c r="CE128" s="102">
        <f t="shared" si="127"/>
        <v>74</v>
      </c>
      <c r="CF128" s="117">
        <f t="shared" si="128"/>
        <v>78</v>
      </c>
      <c r="CG128" s="118">
        <f t="shared" si="129"/>
        <v>109</v>
      </c>
      <c r="CH128" s="118">
        <f t="shared" si="130"/>
        <v>114</v>
      </c>
      <c r="CI128" s="118">
        <f t="shared" si="131"/>
        <v>150</v>
      </c>
      <c r="CJ128" s="118" t="str">
        <f t="shared" si="132"/>
        <v>-</v>
      </c>
      <c r="CK128" s="118">
        <f t="shared" si="133"/>
        <v>183</v>
      </c>
      <c r="CL128" s="118">
        <f t="shared" si="134"/>
        <v>204</v>
      </c>
      <c r="CM128" s="118">
        <f t="shared" si="135"/>
        <v>242</v>
      </c>
      <c r="CN128" s="118">
        <f t="shared" si="136"/>
        <v>324</v>
      </c>
      <c r="CO128" s="118">
        <f t="shared" si="137"/>
        <v>361</v>
      </c>
      <c r="CP128" s="118">
        <f t="shared" si="138"/>
        <v>373</v>
      </c>
      <c r="CQ128" s="57">
        <f t="shared" si="139"/>
        <v>1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</row>
    <row r="129" spans="1:1026" x14ac:dyDescent="0.2">
      <c r="A129" s="3" t="str">
        <f t="shared" si="112"/>
        <v>ox1r_human_4ZJC</v>
      </c>
      <c r="B129" s="3" t="s">
        <v>1393</v>
      </c>
      <c r="C129" s="3" t="s">
        <v>282</v>
      </c>
      <c r="D129" s="3" t="str">
        <f>IFERROR(MID(VLOOKUP($B129,Seqs!$A:$B,2,0),E129,1),"")</f>
        <v>E</v>
      </c>
      <c r="E129" s="3">
        <v>46</v>
      </c>
      <c r="F129" s="3" t="str">
        <f>IFERROR(MID(VLOOKUP($B129,Seqs!$A:$B,2,0),G129,1),"")</f>
        <v>N</v>
      </c>
      <c r="G129" s="3">
        <v>74</v>
      </c>
      <c r="H129" s="3" t="str">
        <f>IFERROR(MID(VLOOKUP($B129,Seqs!$A:$B,2,0),I129,1),"")</f>
        <v>H</v>
      </c>
      <c r="I129" s="57">
        <v>75</v>
      </c>
      <c r="J129" s="3" t="str">
        <f>IFERROR(MID(VLOOKUP($B129,Seqs!$A:$B,2,0),K129,1),"")</f>
        <v>R</v>
      </c>
      <c r="K129" s="57">
        <v>78</v>
      </c>
      <c r="L129" s="3" t="str">
        <f>IFERROR(MID(VLOOKUP($B129,Seqs!$A:$B,2,0),M129,1),"")</f>
        <v>T</v>
      </c>
      <c r="M129" s="3">
        <v>79</v>
      </c>
      <c r="N129" s="3" t="str">
        <f>IFERROR(MID(VLOOKUP($B129,Seqs!$A:$B,2,0),O129,1),"")</f>
        <v>T</v>
      </c>
      <c r="O129" s="3">
        <v>109</v>
      </c>
      <c r="P129" s="3" t="str">
        <f>IFERROR(MID(VLOOKUP($B129,Seqs!$A:$B,2,0),Q129,1),"")</f>
        <v>S</v>
      </c>
      <c r="Q129" s="3">
        <v>111</v>
      </c>
      <c r="R129" s="3" t="str">
        <f>IFERROR(MID(VLOOKUP($B129,Seqs!$A:$B,2,0),S129,1),"")</f>
        <v>F</v>
      </c>
      <c r="S129" s="3">
        <v>114</v>
      </c>
      <c r="T129" s="3" t="str">
        <f>IFERROR(MID(VLOOKUP($B129,Seqs!$A:$B,2,0),U129,1),"")</f>
        <v>G</v>
      </c>
      <c r="U129" s="3">
        <v>115</v>
      </c>
      <c r="V129" s="3" t="str">
        <f>IFERROR(MID(VLOOKUP($B129,Seqs!$A:$B,2,0),W129,1),"")</f>
        <v>H</v>
      </c>
      <c r="W129" s="3">
        <v>150</v>
      </c>
      <c r="X129" s="3" t="str">
        <f>IFERROR(MID(VLOOKUP($B129,Seqs!$A:$B,2,0),Y129,1),"")</f>
        <v/>
      </c>
      <c r="Y129" s="3" t="s">
        <v>129</v>
      </c>
      <c r="Z129" s="3" t="str">
        <f>IFERROR(MID(VLOOKUP($B129,Seqs!$A:$B,2,0),AA129,1),"")</f>
        <v/>
      </c>
      <c r="AA129" s="3" t="s">
        <v>129</v>
      </c>
      <c r="AB129" s="3" t="str">
        <f>IFERROR(MID(VLOOKUP($B129,Seqs!$A:$B,2,0),AC129,1),"")</f>
        <v>A</v>
      </c>
      <c r="AC129" s="3">
        <v>158</v>
      </c>
      <c r="AD129" s="3" t="str">
        <f>IFERROR(MID(VLOOKUP($B129,Seqs!$A:$B,2,0),AE129,1),"")</f>
        <v>M</v>
      </c>
      <c r="AE129" s="3">
        <v>183</v>
      </c>
      <c r="AF129" s="3" t="str">
        <f>IFERROR(MID(VLOOKUP($B129,Seqs!$A:$B,2,0),AG129,1),"")</f>
        <v>C</v>
      </c>
      <c r="AG129" s="3">
        <v>202</v>
      </c>
      <c r="AH129" s="3" t="str">
        <f>IFERROR(MID(VLOOKUP($B129,Seqs!$A:$B,2,0),AI129,1),"")</f>
        <v>E</v>
      </c>
      <c r="AI129" s="3">
        <v>204</v>
      </c>
      <c r="AJ129" s="3" t="str">
        <f>IFERROR(MID(VLOOKUP($B129,Seqs!$A:$B,2,0),AK129,1),"")</f>
        <v>D</v>
      </c>
      <c r="AK129" s="3">
        <v>209</v>
      </c>
      <c r="AL129" s="3" t="str">
        <f>IFERROR(MID(VLOOKUP($B129,Seqs!$A:$B,2,0),AM129,1),"")</f>
        <v>L</v>
      </c>
      <c r="AM129" s="3">
        <v>242</v>
      </c>
      <c r="AN129" s="3" t="str">
        <f>IFERROR(MID(VLOOKUP($B129,Seqs!$A:$B,2,0),AO129,1),"")</f>
        <v>K</v>
      </c>
      <c r="AO129" s="3">
        <v>288</v>
      </c>
      <c r="AP129" s="3" t="str">
        <f>IFERROR(MID(VLOOKUP($B129,Seqs!$A:$B,2,0),AQ129,1),"")</f>
        <v>F</v>
      </c>
      <c r="AQ129" s="3">
        <v>324</v>
      </c>
      <c r="AR129" s="3" t="str">
        <f>IFERROR(MID(VLOOKUP($B129,Seqs!$A:$B,2,0),AS129,1),"")</f>
        <v>R</v>
      </c>
      <c r="AS129" s="3">
        <v>333</v>
      </c>
      <c r="AT129" s="3" t="str">
        <f>IFERROR(MID(VLOOKUP($B129,Seqs!$A:$B,2,0),AU129,1),"")</f>
        <v>L</v>
      </c>
      <c r="AU129" s="3">
        <v>361</v>
      </c>
      <c r="AV129" s="3" t="str">
        <f>IFERROR(MID(VLOOKUP($B129,Seqs!$A:$B,2,0),AW129,1),"")</f>
        <v>S</v>
      </c>
      <c r="AW129" s="3">
        <v>362</v>
      </c>
      <c r="AX129" s="3" t="str">
        <f>IFERROR(MID(VLOOKUP($B129,Seqs!$A:$B,2,0),AY129,1),"")</f>
        <v>F</v>
      </c>
      <c r="AY129" s="3">
        <v>373</v>
      </c>
      <c r="BA129" s="124" t="str">
        <f>VLOOKUP(B129,Classification!A:D,2,0)</f>
        <v>A</v>
      </c>
      <c r="BC129" s="1"/>
      <c r="BD129" s="4"/>
      <c r="BE129" s="57">
        <f t="shared" si="113"/>
        <v>246</v>
      </c>
      <c r="BF129" s="91" t="b">
        <f t="shared" si="114"/>
        <v>1</v>
      </c>
      <c r="BG129" s="102" t="s">
        <v>1513</v>
      </c>
      <c r="BH129" s="102" t="s">
        <v>1513</v>
      </c>
      <c r="BI129" s="102" t="s">
        <v>1513</v>
      </c>
      <c r="BJ129" s="102" t="s">
        <v>1513</v>
      </c>
      <c r="BK129" s="102" t="s">
        <v>1513</v>
      </c>
      <c r="BL129" s="102" t="s">
        <v>1513</v>
      </c>
      <c r="BM129" s="102" t="s">
        <v>1513</v>
      </c>
      <c r="BN129" s="102" t="s">
        <v>1513</v>
      </c>
      <c r="BO129" s="102" t="s">
        <v>1513</v>
      </c>
      <c r="BP129" s="102" t="s">
        <v>1513</v>
      </c>
      <c r="BQ129" s="102" t="s">
        <v>1513</v>
      </c>
      <c r="BR129" s="102" t="s">
        <v>1513</v>
      </c>
      <c r="BS129" s="102">
        <f t="shared" si="115"/>
        <v>46</v>
      </c>
      <c r="BT129" s="117">
        <f t="shared" si="116"/>
        <v>75</v>
      </c>
      <c r="BU129" s="118">
        <f t="shared" si="117"/>
        <v>79</v>
      </c>
      <c r="BV129" s="117">
        <f t="shared" si="118"/>
        <v>111</v>
      </c>
      <c r="BW129" s="118">
        <f t="shared" si="119"/>
        <v>115</v>
      </c>
      <c r="BX129" s="117" t="str">
        <f t="shared" si="120"/>
        <v>-</v>
      </c>
      <c r="BY129" s="118">
        <f t="shared" si="121"/>
        <v>158</v>
      </c>
      <c r="BZ129" s="117">
        <f t="shared" si="122"/>
        <v>202</v>
      </c>
      <c r="CA129" s="118">
        <f t="shared" si="123"/>
        <v>209</v>
      </c>
      <c r="CB129" s="117">
        <f t="shared" si="124"/>
        <v>288</v>
      </c>
      <c r="CC129" s="118">
        <f t="shared" si="125"/>
        <v>333</v>
      </c>
      <c r="CD129" s="117">
        <f t="shared" si="126"/>
        <v>362</v>
      </c>
      <c r="CE129" s="102">
        <f t="shared" si="127"/>
        <v>74</v>
      </c>
      <c r="CF129" s="117">
        <f t="shared" si="128"/>
        <v>78</v>
      </c>
      <c r="CG129" s="118">
        <f t="shared" si="129"/>
        <v>109</v>
      </c>
      <c r="CH129" s="118">
        <f t="shared" si="130"/>
        <v>114</v>
      </c>
      <c r="CI129" s="118">
        <f t="shared" si="131"/>
        <v>150</v>
      </c>
      <c r="CJ129" s="118" t="str">
        <f t="shared" si="132"/>
        <v>-</v>
      </c>
      <c r="CK129" s="118">
        <f t="shared" si="133"/>
        <v>183</v>
      </c>
      <c r="CL129" s="118">
        <f t="shared" si="134"/>
        <v>204</v>
      </c>
      <c r="CM129" s="118">
        <f t="shared" si="135"/>
        <v>242</v>
      </c>
      <c r="CN129" s="118">
        <f t="shared" si="136"/>
        <v>324</v>
      </c>
      <c r="CO129" s="118">
        <f t="shared" si="137"/>
        <v>361</v>
      </c>
      <c r="CP129" s="118">
        <f t="shared" si="138"/>
        <v>373</v>
      </c>
      <c r="CQ129" s="57">
        <f t="shared" si="139"/>
        <v>1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</row>
    <row r="130" spans="1:1026" x14ac:dyDescent="0.2">
      <c r="A130" s="3" t="str">
        <f t="shared" si="112"/>
        <v>ox2r_human__wt</v>
      </c>
      <c r="B130" s="3" t="s">
        <v>1394</v>
      </c>
      <c r="C130" s="3" t="s">
        <v>293</v>
      </c>
      <c r="D130" s="3" t="str">
        <f>IFERROR(MID(VLOOKUP($B130,Seqs!$A:$B,2,0),E130,1),"")</f>
        <v>Y</v>
      </c>
      <c r="E130" s="3">
        <v>53</v>
      </c>
      <c r="F130" s="3" t="str">
        <f>IFERROR(MID(VLOOKUP($B130,Seqs!$A:$B,2,0),G130,1),"")</f>
        <v>N</v>
      </c>
      <c r="G130" s="3">
        <v>82</v>
      </c>
      <c r="H130" s="3" t="str">
        <f>IFERROR(MID(VLOOKUP($B130,Seqs!$A:$B,2,0),I130,1),"")</f>
        <v>H</v>
      </c>
      <c r="I130" s="57">
        <v>83</v>
      </c>
      <c r="J130" s="3" t="str">
        <f>IFERROR(MID(VLOOKUP($B130,Seqs!$A:$B,2,0),K130,1),"")</f>
        <v>R</v>
      </c>
      <c r="K130" s="57">
        <v>86</v>
      </c>
      <c r="L130" s="3" t="str">
        <f>IFERROR(MID(VLOOKUP($B130,Seqs!$A:$B,2,0),M130,1),"")</f>
        <v>T</v>
      </c>
      <c r="M130" s="3">
        <v>87</v>
      </c>
      <c r="N130" s="3" t="str">
        <f>IFERROR(MID(VLOOKUP($B130,Seqs!$A:$B,2,0),O130,1),"")</f>
        <v>T</v>
      </c>
      <c r="O130" s="3">
        <v>117</v>
      </c>
      <c r="P130" s="3" t="str">
        <f>IFERROR(MID(VLOOKUP($B130,Seqs!$A:$B,2,0),Q130,1),"")</f>
        <v>T</v>
      </c>
      <c r="Q130" s="3">
        <v>119</v>
      </c>
      <c r="R130" s="3" t="str">
        <f>IFERROR(MID(VLOOKUP($B130,Seqs!$A:$B,2,0),S130,1),"")</f>
        <v>F</v>
      </c>
      <c r="S130" s="3">
        <v>122</v>
      </c>
      <c r="T130" s="3" t="str">
        <f>IFERROR(MID(VLOOKUP($B130,Seqs!$A:$B,2,0),U130,1),"")</f>
        <v>G</v>
      </c>
      <c r="U130" s="3">
        <v>123</v>
      </c>
      <c r="V130" s="3" t="str">
        <f>IFERROR(MID(VLOOKUP($B130,Seqs!$A:$B,2,0),W130,1),"")</f>
        <v>H</v>
      </c>
      <c r="W130" s="3">
        <v>158</v>
      </c>
      <c r="X130" s="3" t="str">
        <f>IFERROR(MID(VLOOKUP($B130,Seqs!$A:$B,2,0),Y130,1),"")</f>
        <v>P</v>
      </c>
      <c r="Y130" s="3">
        <v>159</v>
      </c>
      <c r="Z130" s="3" t="str">
        <f>IFERROR(MID(VLOOKUP($B130,Seqs!$A:$B,2,0),AA130,1),"")</f>
        <v>T</v>
      </c>
      <c r="AA130" s="119">
        <v>165</v>
      </c>
      <c r="AB130" s="3" t="str">
        <f>IFERROR(MID(VLOOKUP($B130,Seqs!$A:$B,2,0),AC130,1),"")</f>
        <v>A</v>
      </c>
      <c r="AC130" s="3">
        <v>166</v>
      </c>
      <c r="AD130" s="3" t="str">
        <f>IFERROR(MID(VLOOKUP($B130,Seqs!$A:$B,2,0),AE130,1),"")</f>
        <v>M</v>
      </c>
      <c r="AE130" s="3">
        <v>191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E</v>
      </c>
      <c r="AI130" s="3">
        <v>212</v>
      </c>
      <c r="AJ130" s="3" t="str">
        <f>IFERROR(MID(VLOOKUP($B130,Seqs!$A:$B,2,0),AK130,1),"")</f>
        <v>E</v>
      </c>
      <c r="AK130" s="3">
        <v>217</v>
      </c>
      <c r="AL130" s="3" t="str">
        <f>IFERROR(MID(VLOOKUP($B130,Seqs!$A:$B,2,0),AM130,1),"")</f>
        <v>P</v>
      </c>
      <c r="AM130" s="3">
        <v>256</v>
      </c>
      <c r="AN130" s="3" t="str">
        <f>IFERROR(MID(VLOOKUP($B130,Seqs!$A:$B,2,0),AO130,1),"")</f>
        <v>V</v>
      </c>
      <c r="AO130" s="3">
        <v>289</v>
      </c>
      <c r="AP130" s="3" t="str">
        <f>IFERROR(MID(VLOOKUP($B130,Seqs!$A:$B,2,0),AQ130,1),"")</f>
        <v>F</v>
      </c>
      <c r="AQ130" s="3">
        <v>330</v>
      </c>
      <c r="AR130" s="3" t="str">
        <f>IFERROR(MID(VLOOKUP($B130,Seqs!$A:$B,2,0),AS130,1),"")</f>
        <v>R</v>
      </c>
      <c r="AS130" s="3">
        <v>339</v>
      </c>
      <c r="AT130" s="3" t="str">
        <f>IFERROR(MID(VLOOKUP($B130,Seqs!$A:$B,2,0),AU130,1),"")</f>
        <v>L</v>
      </c>
      <c r="AU130" s="3">
        <v>367</v>
      </c>
      <c r="AV130" s="3" t="str">
        <f>IFERROR(MID(VLOOKUP($B130,Seqs!$A:$B,2,0),AW130,1),"")</f>
        <v>S</v>
      </c>
      <c r="AW130" s="3">
        <v>368</v>
      </c>
      <c r="AX130" s="3" t="str">
        <f>IFERROR(MID(VLOOKUP($B130,Seqs!$A:$B,2,0),AY130,1),"")</f>
        <v>F</v>
      </c>
      <c r="AY130" s="3">
        <v>379</v>
      </c>
      <c r="BA130" s="124" t="str">
        <f>VLOOKUP(B130,Classification!A:D,2,0)</f>
        <v>A</v>
      </c>
      <c r="BC130" s="1"/>
      <c r="BD130" s="72">
        <f>S130-Q130+1</f>
        <v>4</v>
      </c>
      <c r="BE130" s="57">
        <f t="shared" si="113"/>
        <v>264</v>
      </c>
      <c r="BF130" s="63" t="b">
        <f t="shared" si="114"/>
        <v>1</v>
      </c>
      <c r="BG130" s="116" t="s">
        <v>1513</v>
      </c>
      <c r="BH130" s="102" t="s">
        <v>1513</v>
      </c>
      <c r="BI130" s="102" t="s">
        <v>1513</v>
      </c>
      <c r="BJ130" s="102" t="s">
        <v>1513</v>
      </c>
      <c r="BK130" s="102" t="s">
        <v>1513</v>
      </c>
      <c r="BL130" s="102" t="s">
        <v>1513</v>
      </c>
      <c r="BM130" s="102" t="s">
        <v>1513</v>
      </c>
      <c r="BN130" s="102" t="s">
        <v>1513</v>
      </c>
      <c r="BO130" s="102" t="s">
        <v>1513</v>
      </c>
      <c r="BP130" s="102" t="s">
        <v>1513</v>
      </c>
      <c r="BQ130" s="102" t="s">
        <v>1513</v>
      </c>
      <c r="BR130" s="102" t="s">
        <v>1513</v>
      </c>
      <c r="BS130" s="116">
        <f t="shared" si="115"/>
        <v>53</v>
      </c>
      <c r="BT130" s="117">
        <f t="shared" si="116"/>
        <v>83</v>
      </c>
      <c r="BU130" s="118">
        <f t="shared" si="117"/>
        <v>87</v>
      </c>
      <c r="BV130" s="117">
        <f t="shared" si="118"/>
        <v>119</v>
      </c>
      <c r="BW130" s="118">
        <f t="shared" si="119"/>
        <v>123</v>
      </c>
      <c r="BX130" s="117">
        <f t="shared" si="120"/>
        <v>159</v>
      </c>
      <c r="BY130" s="118">
        <f t="shared" si="121"/>
        <v>166</v>
      </c>
      <c r="BZ130" s="117">
        <f t="shared" si="122"/>
        <v>210</v>
      </c>
      <c r="CA130" s="118">
        <f t="shared" si="123"/>
        <v>217</v>
      </c>
      <c r="CB130" s="117">
        <f t="shared" si="124"/>
        <v>289</v>
      </c>
      <c r="CC130" s="118">
        <f t="shared" si="125"/>
        <v>339</v>
      </c>
      <c r="CD130" s="117">
        <f t="shared" si="126"/>
        <v>368</v>
      </c>
      <c r="CE130" s="116">
        <f t="shared" si="127"/>
        <v>82</v>
      </c>
      <c r="CF130" s="117">
        <f t="shared" si="128"/>
        <v>86</v>
      </c>
      <c r="CG130" s="118">
        <f t="shared" si="129"/>
        <v>117</v>
      </c>
      <c r="CH130" s="118">
        <f t="shared" si="130"/>
        <v>122</v>
      </c>
      <c r="CI130" s="118">
        <f t="shared" si="131"/>
        <v>158</v>
      </c>
      <c r="CJ130" s="118">
        <f t="shared" si="132"/>
        <v>165</v>
      </c>
      <c r="CK130" s="118">
        <f t="shared" si="133"/>
        <v>191</v>
      </c>
      <c r="CL130" s="118">
        <f t="shared" si="134"/>
        <v>212</v>
      </c>
      <c r="CM130" s="118">
        <f t="shared" si="135"/>
        <v>256</v>
      </c>
      <c r="CN130" s="118">
        <f t="shared" si="136"/>
        <v>330</v>
      </c>
      <c r="CO130" s="118">
        <f t="shared" si="137"/>
        <v>367</v>
      </c>
      <c r="CP130" s="118">
        <f t="shared" si="138"/>
        <v>379</v>
      </c>
      <c r="CQ130" s="57">
        <f t="shared" si="139"/>
        <v>1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</row>
    <row r="131" spans="1:1026" x14ac:dyDescent="0.2">
      <c r="A131" s="3" t="str">
        <f t="shared" si="112"/>
        <v>ox2r_human_4S0V</v>
      </c>
      <c r="B131" s="3" t="s">
        <v>1394</v>
      </c>
      <c r="C131" s="3" t="s">
        <v>283</v>
      </c>
      <c r="D131" s="3" t="str">
        <f>IFERROR(MID(VLOOKUP($B131,Seqs!$A:$B,2,0),E131,1),"")</f>
        <v>Y</v>
      </c>
      <c r="E131" s="3">
        <v>53</v>
      </c>
      <c r="F131" s="3" t="str">
        <f>IFERROR(MID(VLOOKUP($B131,Seqs!$A:$B,2,0),G131,1),"")</f>
        <v>N</v>
      </c>
      <c r="G131" s="3">
        <v>82</v>
      </c>
      <c r="H131" s="3" t="str">
        <f>IFERROR(MID(VLOOKUP($B131,Seqs!$A:$B,2,0),I131,1),"")</f>
        <v>H</v>
      </c>
      <c r="I131" s="57">
        <v>83</v>
      </c>
      <c r="J131" s="3" t="str">
        <f>IFERROR(MID(VLOOKUP($B131,Seqs!$A:$B,2,0),K131,1),"")</f>
        <v>R</v>
      </c>
      <c r="K131" s="57">
        <v>86</v>
      </c>
      <c r="L131" s="3" t="str">
        <f>IFERROR(MID(VLOOKUP($B131,Seqs!$A:$B,2,0),M131,1),"")</f>
        <v>T</v>
      </c>
      <c r="M131" s="3">
        <v>87</v>
      </c>
      <c r="N131" s="3" t="str">
        <f>IFERROR(MID(VLOOKUP($B131,Seqs!$A:$B,2,0),O131,1),"")</f>
        <v>T</v>
      </c>
      <c r="O131" s="3">
        <v>117</v>
      </c>
      <c r="P131" s="3" t="str">
        <f>IFERROR(MID(VLOOKUP($B131,Seqs!$A:$B,2,0),Q131,1),"")</f>
        <v>T</v>
      </c>
      <c r="Q131" s="3">
        <v>119</v>
      </c>
      <c r="R131" s="3" t="str">
        <f>IFERROR(MID(VLOOKUP($B131,Seqs!$A:$B,2,0),S131,1),"")</f>
        <v>F</v>
      </c>
      <c r="S131" s="3">
        <v>122</v>
      </c>
      <c r="T131" s="3" t="str">
        <f>IFERROR(MID(VLOOKUP($B131,Seqs!$A:$B,2,0),U131,1),"")</f>
        <v>G</v>
      </c>
      <c r="U131" s="3">
        <v>123</v>
      </c>
      <c r="V131" s="3" t="str">
        <f>IFERROR(MID(VLOOKUP($B131,Seqs!$A:$B,2,0),W131,1),"")</f>
        <v>H</v>
      </c>
      <c r="W131" s="3">
        <v>158</v>
      </c>
      <c r="X131" s="3" t="str">
        <f>IFERROR(MID(VLOOKUP($B131,Seqs!$A:$B,2,0),Y131,1),"")</f>
        <v/>
      </c>
      <c r="Y131" s="3" t="s">
        <v>129</v>
      </c>
      <c r="Z131" s="3" t="str">
        <f>IFERROR(MID(VLOOKUP($B131,Seqs!$A:$B,2,0),AA131,1),"")</f>
        <v/>
      </c>
      <c r="AA131" s="3" t="s">
        <v>129</v>
      </c>
      <c r="AB131" s="3" t="str">
        <f>IFERROR(MID(VLOOKUP($B131,Seqs!$A:$B,2,0),AC131,1),"")</f>
        <v>A</v>
      </c>
      <c r="AC131" s="3">
        <v>166</v>
      </c>
      <c r="AD131" s="3" t="str">
        <f>IFERROR(MID(VLOOKUP($B131,Seqs!$A:$B,2,0),AE131,1),"")</f>
        <v>M</v>
      </c>
      <c r="AE131" s="3">
        <v>191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E</v>
      </c>
      <c r="AI131" s="3">
        <v>212</v>
      </c>
      <c r="AJ131" s="3" t="str">
        <f>IFERROR(MID(VLOOKUP($B131,Seqs!$A:$B,2,0),AK131,1),"")</f>
        <v>E</v>
      </c>
      <c r="AK131" s="3">
        <v>217</v>
      </c>
      <c r="AL131" s="3" t="str">
        <f>IFERROR(MID(VLOOKUP($B131,Seqs!$A:$B,2,0),AM131,1),"")</f>
        <v>Q</v>
      </c>
      <c r="AM131" s="3">
        <v>254</v>
      </c>
      <c r="AN131" s="3" t="str">
        <f>IFERROR(MID(VLOOKUP($B131,Seqs!$A:$B,2,0),AO131,1),"")</f>
        <v>K</v>
      </c>
      <c r="AO131" s="3">
        <v>294</v>
      </c>
      <c r="AP131" s="3" t="str">
        <f>IFERROR(MID(VLOOKUP($B131,Seqs!$A:$B,2,0),AQ131,1),"")</f>
        <v>F</v>
      </c>
      <c r="AQ131" s="3">
        <v>330</v>
      </c>
      <c r="AR131" s="3" t="str">
        <f>IFERROR(MID(VLOOKUP($B131,Seqs!$A:$B,2,0),AS131,1),"")</f>
        <v>R</v>
      </c>
      <c r="AS131" s="3">
        <v>339</v>
      </c>
      <c r="AT131" s="3" t="str">
        <f>IFERROR(MID(VLOOKUP($B131,Seqs!$A:$B,2,0),AU131,1),"")</f>
        <v>L</v>
      </c>
      <c r="AU131" s="3">
        <v>367</v>
      </c>
      <c r="AV131" s="3" t="str">
        <f>IFERROR(MID(VLOOKUP($B131,Seqs!$A:$B,2,0),AW131,1),"")</f>
        <v>S</v>
      </c>
      <c r="AW131" s="3">
        <v>368</v>
      </c>
      <c r="AX131" s="3" t="str">
        <f>IFERROR(MID(VLOOKUP($B131,Seqs!$A:$B,2,0),AY131,1),"")</f>
        <v>F</v>
      </c>
      <c r="AY131" s="3">
        <v>379</v>
      </c>
      <c r="BA131" s="124" t="str">
        <f>VLOOKUP(B131,Classification!A:D,2,0)</f>
        <v>A</v>
      </c>
      <c r="BC131" s="1"/>
      <c r="BD131" s="4"/>
      <c r="BE131" s="57">
        <f t="shared" si="113"/>
        <v>251</v>
      </c>
      <c r="BF131" s="63" t="b">
        <f t="shared" si="114"/>
        <v>1</v>
      </c>
      <c r="BG131" s="116" t="s">
        <v>1513</v>
      </c>
      <c r="BH131" s="102" t="s">
        <v>1513</v>
      </c>
      <c r="BI131" s="102" t="s">
        <v>1513</v>
      </c>
      <c r="BJ131" s="102" t="s">
        <v>1513</v>
      </c>
      <c r="BK131" s="102" t="s">
        <v>1513</v>
      </c>
      <c r="BL131" s="102" t="s">
        <v>1513</v>
      </c>
      <c r="BM131" s="102" t="s">
        <v>1513</v>
      </c>
      <c r="BN131" s="102" t="s">
        <v>1513</v>
      </c>
      <c r="BO131" s="102" t="s">
        <v>1513</v>
      </c>
      <c r="BP131" s="102" t="s">
        <v>1513</v>
      </c>
      <c r="BQ131" s="102" t="s">
        <v>1513</v>
      </c>
      <c r="BR131" s="102" t="s">
        <v>1513</v>
      </c>
      <c r="BS131" s="116">
        <f t="shared" si="115"/>
        <v>53</v>
      </c>
      <c r="BT131" s="117">
        <f t="shared" si="116"/>
        <v>83</v>
      </c>
      <c r="BU131" s="118">
        <f t="shared" si="117"/>
        <v>87</v>
      </c>
      <c r="BV131" s="117">
        <f t="shared" si="118"/>
        <v>119</v>
      </c>
      <c r="BW131" s="118">
        <f t="shared" si="119"/>
        <v>123</v>
      </c>
      <c r="BX131" s="117" t="str">
        <f t="shared" si="120"/>
        <v>-</v>
      </c>
      <c r="BY131" s="118">
        <f t="shared" si="121"/>
        <v>166</v>
      </c>
      <c r="BZ131" s="117">
        <f t="shared" si="122"/>
        <v>210</v>
      </c>
      <c r="CA131" s="118">
        <f t="shared" si="123"/>
        <v>217</v>
      </c>
      <c r="CB131" s="117">
        <f t="shared" si="124"/>
        <v>294</v>
      </c>
      <c r="CC131" s="118">
        <f t="shared" si="125"/>
        <v>339</v>
      </c>
      <c r="CD131" s="117">
        <f t="shared" si="126"/>
        <v>368</v>
      </c>
      <c r="CE131" s="116">
        <f t="shared" si="127"/>
        <v>82</v>
      </c>
      <c r="CF131" s="117">
        <f t="shared" si="128"/>
        <v>86</v>
      </c>
      <c r="CG131" s="118">
        <f t="shared" si="129"/>
        <v>117</v>
      </c>
      <c r="CH131" s="118">
        <f t="shared" si="130"/>
        <v>122</v>
      </c>
      <c r="CI131" s="118">
        <f t="shared" si="131"/>
        <v>158</v>
      </c>
      <c r="CJ131" s="118" t="str">
        <f t="shared" si="132"/>
        <v>-</v>
      </c>
      <c r="CK131" s="118">
        <f t="shared" si="133"/>
        <v>191</v>
      </c>
      <c r="CL131" s="118">
        <f t="shared" si="134"/>
        <v>212</v>
      </c>
      <c r="CM131" s="118">
        <f t="shared" si="135"/>
        <v>254</v>
      </c>
      <c r="CN131" s="118">
        <f t="shared" si="136"/>
        <v>330</v>
      </c>
      <c r="CO131" s="118">
        <f t="shared" si="137"/>
        <v>367</v>
      </c>
      <c r="CP131" s="118">
        <f t="shared" si="138"/>
        <v>379</v>
      </c>
      <c r="CQ131" s="57">
        <f t="shared" si="139"/>
        <v>1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</row>
    <row r="132" spans="1:1026" x14ac:dyDescent="0.2">
      <c r="A132" s="3" t="str">
        <f t="shared" si="112"/>
        <v>p2ry1_human__wt</v>
      </c>
      <c r="B132" s="3" t="s">
        <v>538</v>
      </c>
      <c r="C132" s="3" t="s">
        <v>293</v>
      </c>
      <c r="D132" s="3" t="str">
        <f>IFERROR(MID(VLOOKUP($B132,Seqs!$A:$B,2,0),E132,1),"")</f>
        <v>F</v>
      </c>
      <c r="E132" s="3">
        <v>49</v>
      </c>
      <c r="F132" s="3" t="str">
        <f>IFERROR(MID(VLOOKUP($B132,Seqs!$A:$B,2,0),G132,1),"")</f>
        <v>H</v>
      </c>
      <c r="G132" s="3">
        <v>79</v>
      </c>
      <c r="H132" s="3" t="str">
        <f>IFERROR(MID(VLOOKUP($B132,Seqs!$A:$B,2,0),I132,1),"")</f>
        <v/>
      </c>
      <c r="I132" s="57" t="s">
        <v>129</v>
      </c>
      <c r="J132" s="3" t="str">
        <f>IFERROR(MID(VLOOKUP($B132,Seqs!$A:$B,2,0),K132,1),"")</f>
        <v/>
      </c>
      <c r="K132" s="57" t="s">
        <v>129</v>
      </c>
      <c r="L132" s="3" t="str">
        <f>IFERROR(MID(VLOOKUP($B132,Seqs!$A:$B,2,0),M132,1),"")</f>
        <v>S</v>
      </c>
      <c r="M132" s="3">
        <v>84</v>
      </c>
      <c r="N132" s="3" t="str">
        <f>IFERROR(MID(VLOOKUP($B132,Seqs!$A:$B,2,0),O132,1),"")</f>
        <v>N</v>
      </c>
      <c r="O132" s="3">
        <v>113</v>
      </c>
      <c r="P132" s="3" t="str">
        <f>IFERROR(MID(VLOOKUP($B132,Seqs!$A:$B,2,0),Q132,1),"")</f>
        <v>D</v>
      </c>
      <c r="Q132" s="3">
        <v>116</v>
      </c>
      <c r="R132" s="3" t="str">
        <f>IFERROR(MID(VLOOKUP($B132,Seqs!$A:$B,2,0),S132,1),"")</f>
        <v>F</v>
      </c>
      <c r="S132" s="3">
        <v>119</v>
      </c>
      <c r="T132" s="3" t="str">
        <f>IFERROR(MID(VLOOKUP($B132,Seqs!$A:$B,2,0),U132,1),"")</f>
        <v>G</v>
      </c>
      <c r="U132" s="3">
        <v>120</v>
      </c>
      <c r="V132" s="3" t="str">
        <f>IFERROR(MID(VLOOKUP($B132,Seqs!$A:$B,2,0),W132,1),"")</f>
        <v>Y</v>
      </c>
      <c r="W132" s="3">
        <v>155</v>
      </c>
      <c r="X132" s="3" t="str">
        <f>IFERROR(MID(VLOOKUP($B132,Seqs!$A:$B,2,0),Y132,1),"")</f>
        <v>P</v>
      </c>
      <c r="Y132" s="3">
        <v>156</v>
      </c>
      <c r="Z132" s="3" t="str">
        <f>IFERROR(MID(VLOOKUP($B132,Seqs!$A:$B,2,0),AA132,1),"")</f>
        <v>L</v>
      </c>
      <c r="AA132" s="3">
        <v>163</v>
      </c>
      <c r="AB132" s="3" t="str">
        <f>IFERROR(MID(VLOOKUP($B132,Seqs!$A:$B,2,0),AC132,1),"")</f>
        <v>K</v>
      </c>
      <c r="AC132" s="3">
        <v>165</v>
      </c>
      <c r="AD132" s="3" t="str">
        <f>IFERROR(MID(VLOOKUP($B132,Seqs!$A:$B,2,0),AE132,1),"")</f>
        <v>S</v>
      </c>
      <c r="AE132" s="3">
        <v>190</v>
      </c>
      <c r="AF132" s="3" t="str">
        <f>IFERROR(MID(VLOOKUP($B132,Seqs!$A:$B,2,0),AG132,1),"")</f>
        <v>C</v>
      </c>
      <c r="AG132" s="3">
        <v>202</v>
      </c>
      <c r="AH132" s="3" t="str">
        <f>IFERROR(MID(VLOOKUP($B132,Seqs!$A:$B,2,0),AI132,1),"")</f>
        <v>D</v>
      </c>
      <c r="AI132" s="3">
        <v>204</v>
      </c>
      <c r="AJ132" s="3" t="str">
        <f>IFERROR(MID(VLOOKUP($B132,Seqs!$A:$B,2,0),AK132,1),"")</f>
        <v>L</v>
      </c>
      <c r="AK132" s="3">
        <v>211</v>
      </c>
      <c r="AL132" s="3" t="str">
        <f>IFERROR(MID(VLOOKUP($B132,Seqs!$A:$B,2,0),AM132,1),"")</f>
        <v>K</v>
      </c>
      <c r="AM132" s="3">
        <v>247</v>
      </c>
      <c r="AN132" s="3" t="str">
        <f>IFERROR(MID(VLOOKUP($B132,Seqs!$A:$B,2,0),AO132,1),"")</f>
        <v>P</v>
      </c>
      <c r="AO132" s="3">
        <v>253</v>
      </c>
      <c r="AP132" s="3" t="str">
        <f>IFERROR(MID(VLOOKUP($B132,Seqs!$A:$B,2,0),AQ132,1),"")</f>
        <v>D</v>
      </c>
      <c r="AQ132" s="3">
        <v>289</v>
      </c>
      <c r="AR132" s="3" t="str">
        <f>IFERROR(MID(VLOOKUP($B132,Seqs!$A:$B,2,0),AS132,1),"")</f>
        <v>M</v>
      </c>
      <c r="AS132" s="3">
        <v>295</v>
      </c>
      <c r="AT132" s="3" t="str">
        <f>IFERROR(MID(VLOOKUP($B132,Seqs!$A:$B,2,0),AU132,1),"")</f>
        <v>A</v>
      </c>
      <c r="AU132" s="3">
        <v>327</v>
      </c>
      <c r="AV132" s="3" t="str">
        <f>IFERROR(MID(VLOOKUP($B132,Seqs!$A:$B,2,0),AW132,1),"")</f>
        <v>G</v>
      </c>
      <c r="AW132" s="3">
        <v>328</v>
      </c>
      <c r="AX132" s="3" t="str">
        <f>IFERROR(MID(VLOOKUP($B132,Seqs!$A:$B,2,0),AY132,1),"")</f>
        <v>R</v>
      </c>
      <c r="AY132" s="3">
        <v>340</v>
      </c>
      <c r="BA132" s="124" t="str">
        <f>VLOOKUP(B132,Classification!A:D,2,0)</f>
        <v>A</v>
      </c>
      <c r="BC132" s="1"/>
      <c r="BD132" s="72">
        <f>S132-Q132+1</f>
        <v>4</v>
      </c>
      <c r="BE132" s="57">
        <f t="shared" si="113"/>
        <v>259</v>
      </c>
      <c r="BF132" s="63" t="b">
        <f t="shared" si="114"/>
        <v>1</v>
      </c>
      <c r="BG132" s="116" t="s">
        <v>1513</v>
      </c>
      <c r="BH132" s="102" t="s">
        <v>1513</v>
      </c>
      <c r="BI132" s="102" t="s">
        <v>1513</v>
      </c>
      <c r="BJ132" s="102" t="s">
        <v>1513</v>
      </c>
      <c r="BK132" s="102" t="s">
        <v>1513</v>
      </c>
      <c r="BL132" s="102" t="s">
        <v>1513</v>
      </c>
      <c r="BM132" s="102" t="s">
        <v>1513</v>
      </c>
      <c r="BN132" s="102" t="s">
        <v>1513</v>
      </c>
      <c r="BO132" s="102" t="s">
        <v>1513</v>
      </c>
      <c r="BP132" s="102" t="s">
        <v>1513</v>
      </c>
      <c r="BQ132" s="102" t="s">
        <v>1513</v>
      </c>
      <c r="BR132" s="102" t="s">
        <v>1513</v>
      </c>
      <c r="BS132" s="116">
        <f t="shared" si="115"/>
        <v>49</v>
      </c>
      <c r="BT132" s="117" t="str">
        <f t="shared" si="116"/>
        <v>-</v>
      </c>
      <c r="BU132" s="118">
        <f t="shared" si="117"/>
        <v>84</v>
      </c>
      <c r="BV132" s="117">
        <f t="shared" si="118"/>
        <v>116</v>
      </c>
      <c r="BW132" s="118">
        <f t="shared" si="119"/>
        <v>120</v>
      </c>
      <c r="BX132" s="117">
        <f t="shared" si="120"/>
        <v>156</v>
      </c>
      <c r="BY132" s="118">
        <f t="shared" si="121"/>
        <v>165</v>
      </c>
      <c r="BZ132" s="117">
        <f t="shared" si="122"/>
        <v>202</v>
      </c>
      <c r="CA132" s="118">
        <f t="shared" si="123"/>
        <v>211</v>
      </c>
      <c r="CB132" s="117">
        <f t="shared" si="124"/>
        <v>253</v>
      </c>
      <c r="CC132" s="118">
        <f t="shared" si="125"/>
        <v>295</v>
      </c>
      <c r="CD132" s="117">
        <f t="shared" si="126"/>
        <v>328</v>
      </c>
      <c r="CE132" s="116">
        <f t="shared" si="127"/>
        <v>79</v>
      </c>
      <c r="CF132" s="117" t="str">
        <f t="shared" si="128"/>
        <v>-</v>
      </c>
      <c r="CG132" s="118">
        <f t="shared" si="129"/>
        <v>113</v>
      </c>
      <c r="CH132" s="118">
        <f t="shared" si="130"/>
        <v>119</v>
      </c>
      <c r="CI132" s="118">
        <f t="shared" si="131"/>
        <v>155</v>
      </c>
      <c r="CJ132" s="118">
        <f t="shared" si="132"/>
        <v>163</v>
      </c>
      <c r="CK132" s="118">
        <f t="shared" si="133"/>
        <v>190</v>
      </c>
      <c r="CL132" s="118">
        <f t="shared" si="134"/>
        <v>204</v>
      </c>
      <c r="CM132" s="118">
        <f t="shared" si="135"/>
        <v>247</v>
      </c>
      <c r="CN132" s="118">
        <f t="shared" si="136"/>
        <v>289</v>
      </c>
      <c r="CO132" s="118">
        <f t="shared" si="137"/>
        <v>327</v>
      </c>
      <c r="CP132" s="118">
        <f t="shared" si="138"/>
        <v>340</v>
      </c>
      <c r="CQ132" s="57" t="e">
        <f t="shared" si="139"/>
        <v>#VALUE!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</row>
    <row r="133" spans="1:1026" x14ac:dyDescent="0.2">
      <c r="A133" s="3" t="str">
        <f t="shared" si="112"/>
        <v>p2ry1_human_4XNV</v>
      </c>
      <c r="B133" s="3" t="s">
        <v>538</v>
      </c>
      <c r="C133" s="3" t="s">
        <v>1370</v>
      </c>
      <c r="D133" s="3" t="str">
        <f>IFERROR(MID(VLOOKUP($B133,Seqs!$A:$B,2,0),E133,1),"")</f>
        <v>F</v>
      </c>
      <c r="E133" s="3">
        <v>49</v>
      </c>
      <c r="F133" s="3" t="str">
        <f>IFERROR(MID(VLOOKUP($B133,Seqs!$A:$B,2,0),G133,1),"")</f>
        <v>H</v>
      </c>
      <c r="G133" s="3">
        <v>79</v>
      </c>
      <c r="H133" s="3" t="str">
        <f>IFERROR(MID(VLOOKUP($B133,Seqs!$A:$B,2,0),I133,1),"")</f>
        <v/>
      </c>
      <c r="I133" s="57" t="s">
        <v>129</v>
      </c>
      <c r="J133" s="3" t="str">
        <f>IFERROR(MID(VLOOKUP($B133,Seqs!$A:$B,2,0),K133,1),"")</f>
        <v/>
      </c>
      <c r="K133" s="57" t="s">
        <v>129</v>
      </c>
      <c r="L133" s="3" t="str">
        <f>IFERROR(MID(VLOOKUP($B133,Seqs!$A:$B,2,0),M133,1),"")</f>
        <v>S</v>
      </c>
      <c r="M133" s="3">
        <v>84</v>
      </c>
      <c r="N133" s="3" t="str">
        <f>IFERROR(MID(VLOOKUP($B133,Seqs!$A:$B,2,0),O133,1),"")</f>
        <v>N</v>
      </c>
      <c r="O133" s="3">
        <v>113</v>
      </c>
      <c r="P133" s="3" t="str">
        <f>IFERROR(MID(VLOOKUP($B133,Seqs!$A:$B,2,0),Q133,1),"")</f>
        <v>D</v>
      </c>
      <c r="Q133" s="3">
        <v>116</v>
      </c>
      <c r="R133" s="3" t="str">
        <f>IFERROR(MID(VLOOKUP($B133,Seqs!$A:$B,2,0),S133,1),"")</f>
        <v>F</v>
      </c>
      <c r="S133" s="3">
        <v>119</v>
      </c>
      <c r="T133" s="3" t="str">
        <f>IFERROR(MID(VLOOKUP($B133,Seqs!$A:$B,2,0),U133,1),"")</f>
        <v>G</v>
      </c>
      <c r="U133" s="3">
        <v>120</v>
      </c>
      <c r="V133" s="3" t="str">
        <f>IFERROR(MID(VLOOKUP($B133,Seqs!$A:$B,2,0),W133,1),"")</f>
        <v>Y</v>
      </c>
      <c r="W133" s="3">
        <v>155</v>
      </c>
      <c r="X133" s="3" t="str">
        <f>IFERROR(MID(VLOOKUP($B133,Seqs!$A:$B,2,0),Y133,1),"")</f>
        <v/>
      </c>
      <c r="Y133" s="3" t="s">
        <v>129</v>
      </c>
      <c r="Z133" s="3" t="str">
        <f>IFERROR(MID(VLOOKUP($B133,Seqs!$A:$B,2,0),AA133,1),"")</f>
        <v/>
      </c>
      <c r="AA133" s="3" t="s">
        <v>129</v>
      </c>
      <c r="AB133" s="3" t="str">
        <f>IFERROR(MID(VLOOKUP($B133,Seqs!$A:$B,2,0),AC133,1),"")</f>
        <v>G</v>
      </c>
      <c r="AC133" s="3">
        <v>161</v>
      </c>
      <c r="AD133" s="3" t="str">
        <f>IFERROR(MID(VLOOKUP($B133,Seqs!$A:$B,2,0),AE133,1),"")</f>
        <v>S</v>
      </c>
      <c r="AE133" s="3">
        <v>190</v>
      </c>
      <c r="AF133" s="3" t="str">
        <f>IFERROR(MID(VLOOKUP($B133,Seqs!$A:$B,2,0),AG133,1),"")</f>
        <v>C</v>
      </c>
      <c r="AG133" s="3">
        <v>202</v>
      </c>
      <c r="AH133" s="3" t="str">
        <f>IFERROR(MID(VLOOKUP($B133,Seqs!$A:$B,2,0),AI133,1),"")</f>
        <v>D</v>
      </c>
      <c r="AI133" s="3">
        <v>204</v>
      </c>
      <c r="AJ133" s="3" t="str">
        <f>IFERROR(MID(VLOOKUP($B133,Seqs!$A:$B,2,0),AK133,1),"")</f>
        <v>L</v>
      </c>
      <c r="AK133" s="3">
        <v>211</v>
      </c>
      <c r="AL133" s="3" t="str">
        <f>IFERROR(MID(VLOOKUP($B133,Seqs!$A:$B,2,0),AM133,1),"")</f>
        <v>K</v>
      </c>
      <c r="AM133" s="3">
        <v>247</v>
      </c>
      <c r="AN133" s="3" t="str">
        <f>IFERROR(MID(VLOOKUP($B133,Seqs!$A:$B,2,0),AO133,1),"")</f>
        <v>P</v>
      </c>
      <c r="AO133" s="3">
        <v>253</v>
      </c>
      <c r="AP133" s="3" t="str">
        <f>IFERROR(MID(VLOOKUP($B133,Seqs!$A:$B,2,0),AQ133,1),"")</f>
        <v>D</v>
      </c>
      <c r="AQ133" s="3">
        <v>289</v>
      </c>
      <c r="AR133" s="3" t="str">
        <f>IFERROR(MID(VLOOKUP($B133,Seqs!$A:$B,2,0),AS133,1),"")</f>
        <v>M</v>
      </c>
      <c r="AS133" s="3">
        <v>295</v>
      </c>
      <c r="AT133" s="3" t="str">
        <f>IFERROR(MID(VLOOKUP($B133,Seqs!$A:$B,2,0),AU133,1),"")</f>
        <v>L</v>
      </c>
      <c r="AU133" s="3">
        <v>326</v>
      </c>
      <c r="AV133" s="3" t="str">
        <f>IFERROR(MID(VLOOKUP($B133,Seqs!$A:$B,2,0),AW133,1),"")</f>
        <v/>
      </c>
      <c r="AW133" s="3" t="s">
        <v>129</v>
      </c>
      <c r="AX133" s="3" t="str">
        <f>IFERROR(MID(VLOOKUP($B133,Seqs!$A:$B,2,0),AY133,1),"")</f>
        <v/>
      </c>
      <c r="AY133" s="3" t="s">
        <v>129</v>
      </c>
      <c r="BA133" s="124" t="str">
        <f>VLOOKUP(B133,Classification!A:D,2,0)</f>
        <v>A</v>
      </c>
      <c r="BC133" s="3" t="s">
        <v>1387</v>
      </c>
      <c r="BD133" s="5"/>
      <c r="BE133" s="57">
        <f t="shared" si="113"/>
        <v>243</v>
      </c>
      <c r="BF133" s="63" t="b">
        <f t="shared" si="114"/>
        <v>1</v>
      </c>
      <c r="BG133" s="116" t="s">
        <v>1513</v>
      </c>
      <c r="BH133" s="102" t="s">
        <v>1513</v>
      </c>
      <c r="BI133" s="102" t="s">
        <v>1513</v>
      </c>
      <c r="BJ133" s="102" t="s">
        <v>1513</v>
      </c>
      <c r="BK133" s="102" t="s">
        <v>1513</v>
      </c>
      <c r="BL133" s="102" t="s">
        <v>1513</v>
      </c>
      <c r="BM133" s="102" t="s">
        <v>1513</v>
      </c>
      <c r="BN133" s="102" t="s">
        <v>1513</v>
      </c>
      <c r="BO133" s="102" t="s">
        <v>1513</v>
      </c>
      <c r="BP133" s="102" t="s">
        <v>1513</v>
      </c>
      <c r="BQ133" s="102" t="s">
        <v>1513</v>
      </c>
      <c r="BR133" s="102" t="s">
        <v>1513</v>
      </c>
      <c r="BS133" s="116">
        <f t="shared" si="115"/>
        <v>49</v>
      </c>
      <c r="BT133" s="117" t="str">
        <f t="shared" si="116"/>
        <v>-</v>
      </c>
      <c r="BU133" s="118">
        <f t="shared" si="117"/>
        <v>84</v>
      </c>
      <c r="BV133" s="117">
        <f t="shared" si="118"/>
        <v>116</v>
      </c>
      <c r="BW133" s="118">
        <f t="shared" si="119"/>
        <v>120</v>
      </c>
      <c r="BX133" s="117" t="str">
        <f t="shared" si="120"/>
        <v>-</v>
      </c>
      <c r="BY133" s="118">
        <f t="shared" si="121"/>
        <v>161</v>
      </c>
      <c r="BZ133" s="117">
        <f t="shared" si="122"/>
        <v>202</v>
      </c>
      <c r="CA133" s="118">
        <f t="shared" si="123"/>
        <v>211</v>
      </c>
      <c r="CB133" s="117">
        <f t="shared" si="124"/>
        <v>253</v>
      </c>
      <c r="CC133" s="118">
        <f t="shared" si="125"/>
        <v>295</v>
      </c>
      <c r="CD133" s="117" t="str">
        <f t="shared" si="126"/>
        <v>-</v>
      </c>
      <c r="CE133" s="116">
        <f t="shared" si="127"/>
        <v>79</v>
      </c>
      <c r="CF133" s="117" t="str">
        <f t="shared" si="128"/>
        <v>-</v>
      </c>
      <c r="CG133" s="118">
        <f t="shared" si="129"/>
        <v>113</v>
      </c>
      <c r="CH133" s="118">
        <f t="shared" si="130"/>
        <v>119</v>
      </c>
      <c r="CI133" s="118">
        <f t="shared" si="131"/>
        <v>155</v>
      </c>
      <c r="CJ133" s="118" t="str">
        <f t="shared" si="132"/>
        <v>-</v>
      </c>
      <c r="CK133" s="118">
        <f t="shared" si="133"/>
        <v>190</v>
      </c>
      <c r="CL133" s="118">
        <f t="shared" si="134"/>
        <v>204</v>
      </c>
      <c r="CM133" s="118">
        <f t="shared" si="135"/>
        <v>247</v>
      </c>
      <c r="CN133" s="118">
        <f t="shared" si="136"/>
        <v>289</v>
      </c>
      <c r="CO133" s="118">
        <f t="shared" si="137"/>
        <v>326</v>
      </c>
      <c r="CP133" s="118" t="str">
        <f t="shared" si="138"/>
        <v>-</v>
      </c>
      <c r="CQ133" s="57" t="e">
        <f t="shared" si="139"/>
        <v>#VALUE!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</row>
    <row r="134" spans="1:1026" x14ac:dyDescent="0.2">
      <c r="A134" s="3" t="str">
        <f t="shared" si="112"/>
        <v>p2ry1_human_4XNW</v>
      </c>
      <c r="B134" s="3" t="s">
        <v>538</v>
      </c>
      <c r="C134" s="3" t="s">
        <v>1261</v>
      </c>
      <c r="D134" s="3" t="str">
        <f>IFERROR(MID(VLOOKUP($B134,Seqs!$A:$B,2,0),E134,1),"")</f>
        <v>F</v>
      </c>
      <c r="E134" s="3">
        <v>49</v>
      </c>
      <c r="F134" s="3" t="str">
        <f>IFERROR(MID(VLOOKUP($B134,Seqs!$A:$B,2,0),G134,1),"")</f>
        <v>H</v>
      </c>
      <c r="G134" s="3">
        <v>79</v>
      </c>
      <c r="H134" s="3" t="str">
        <f>IFERROR(MID(VLOOKUP($B134,Seqs!$A:$B,2,0),I134,1),"")</f>
        <v/>
      </c>
      <c r="I134" s="57" t="s">
        <v>129</v>
      </c>
      <c r="J134" s="3" t="str">
        <f>IFERROR(MID(VLOOKUP($B134,Seqs!$A:$B,2,0),K134,1),"")</f>
        <v/>
      </c>
      <c r="K134" s="57" t="s">
        <v>129</v>
      </c>
      <c r="L134" s="3" t="str">
        <f>IFERROR(MID(VLOOKUP($B134,Seqs!$A:$B,2,0),M134,1),"")</f>
        <v>S</v>
      </c>
      <c r="M134" s="3">
        <v>84</v>
      </c>
      <c r="N134" s="3" t="str">
        <f>IFERROR(MID(VLOOKUP($B134,Seqs!$A:$B,2,0),O134,1),"")</f>
        <v>N</v>
      </c>
      <c r="O134" s="3">
        <v>113</v>
      </c>
      <c r="P134" s="3" t="str">
        <f>IFERROR(MID(VLOOKUP($B134,Seqs!$A:$B,2,0),Q134,1),"")</f>
        <v>D</v>
      </c>
      <c r="Q134" s="3">
        <v>116</v>
      </c>
      <c r="R134" s="3" t="str">
        <f>IFERROR(MID(VLOOKUP($B134,Seqs!$A:$B,2,0),S134,1),"")</f>
        <v>F</v>
      </c>
      <c r="S134" s="3">
        <v>119</v>
      </c>
      <c r="T134" s="3" t="str">
        <f>IFERROR(MID(VLOOKUP($B134,Seqs!$A:$B,2,0),U134,1),"")</f>
        <v>G</v>
      </c>
      <c r="U134" s="3">
        <v>120</v>
      </c>
      <c r="V134" s="3" t="str">
        <f>IFERROR(MID(VLOOKUP($B134,Seqs!$A:$B,2,0),W134,1),"")</f>
        <v>Y</v>
      </c>
      <c r="W134" s="3">
        <v>155</v>
      </c>
      <c r="X134" s="3" t="str">
        <f>IFERROR(MID(VLOOKUP($B134,Seqs!$A:$B,2,0),Y134,1),"")</f>
        <v>P</v>
      </c>
      <c r="Y134" s="3">
        <v>156</v>
      </c>
      <c r="Z134" s="3" t="str">
        <f>IFERROR(MID(VLOOKUP($B134,Seqs!$A:$B,2,0),AA134,1),"")</f>
        <v>L</v>
      </c>
      <c r="AA134" s="3">
        <v>163</v>
      </c>
      <c r="AB134" s="3" t="str">
        <f>IFERROR(MID(VLOOKUP($B134,Seqs!$A:$B,2,0),AC134,1),"")</f>
        <v>K</v>
      </c>
      <c r="AC134" s="3">
        <v>165</v>
      </c>
      <c r="AD134" s="3" t="str">
        <f>IFERROR(MID(VLOOKUP($B134,Seqs!$A:$B,2,0),AE134,1),"")</f>
        <v>S</v>
      </c>
      <c r="AE134" s="3">
        <v>190</v>
      </c>
      <c r="AF134" s="3" t="str">
        <f>IFERROR(MID(VLOOKUP($B134,Seqs!$A:$B,2,0),AG134,1),"")</f>
        <v>C</v>
      </c>
      <c r="AG134" s="3">
        <v>202</v>
      </c>
      <c r="AH134" s="3" t="str">
        <f>IFERROR(MID(VLOOKUP($B134,Seqs!$A:$B,2,0),AI134,1),"")</f>
        <v>D</v>
      </c>
      <c r="AI134" s="3">
        <v>204</v>
      </c>
      <c r="AJ134" s="3" t="str">
        <f>IFERROR(MID(VLOOKUP($B134,Seqs!$A:$B,2,0),AK134,1),"")</f>
        <v>L</v>
      </c>
      <c r="AK134" s="3">
        <v>211</v>
      </c>
      <c r="AL134" s="3" t="str">
        <f>IFERROR(MID(VLOOKUP($B134,Seqs!$A:$B,2,0),AM134,1),"")</f>
        <v>K</v>
      </c>
      <c r="AM134" s="3">
        <v>247</v>
      </c>
      <c r="AN134" s="3" t="str">
        <f>IFERROR(MID(VLOOKUP($B134,Seqs!$A:$B,2,0),AO134,1),"")</f>
        <v>P</v>
      </c>
      <c r="AO134" s="3">
        <v>253</v>
      </c>
      <c r="AP134" s="3" t="str">
        <f>IFERROR(MID(VLOOKUP($B134,Seqs!$A:$B,2,0),AQ134,1),"")</f>
        <v>D</v>
      </c>
      <c r="AQ134" s="3">
        <v>289</v>
      </c>
      <c r="AR134" s="3" t="str">
        <f>IFERROR(MID(VLOOKUP($B134,Seqs!$A:$B,2,0),AS134,1),"")</f>
        <v>M</v>
      </c>
      <c r="AS134" s="3">
        <v>295</v>
      </c>
      <c r="AT134" s="3" t="str">
        <f>IFERROR(MID(VLOOKUP($B134,Seqs!$A:$B,2,0),AU134,1),"")</f>
        <v>L</v>
      </c>
      <c r="AU134" s="3">
        <v>326</v>
      </c>
      <c r="AV134" s="3" t="str">
        <f>IFERROR(MID(VLOOKUP($B134,Seqs!$A:$B,2,0),AW134,1),"")</f>
        <v/>
      </c>
      <c r="AW134" s="3" t="s">
        <v>129</v>
      </c>
      <c r="AX134" s="3" t="str">
        <f>IFERROR(MID(VLOOKUP($B134,Seqs!$A:$B,2,0),AY134,1),"")</f>
        <v/>
      </c>
      <c r="AY134" s="3" t="s">
        <v>129</v>
      </c>
      <c r="BA134" s="124" t="str">
        <f>VLOOKUP(B134,Classification!A:D,2,0)</f>
        <v>A</v>
      </c>
      <c r="BC134" s="1"/>
      <c r="BD134" s="35" t="s">
        <v>1329</v>
      </c>
      <c r="BE134" s="57">
        <f t="shared" si="113"/>
        <v>246</v>
      </c>
      <c r="BF134" s="63" t="b">
        <f t="shared" si="114"/>
        <v>1</v>
      </c>
      <c r="BG134" s="116" t="s">
        <v>1513</v>
      </c>
      <c r="BH134" s="102" t="s">
        <v>1513</v>
      </c>
      <c r="BI134" s="102" t="s">
        <v>1513</v>
      </c>
      <c r="BJ134" s="102" t="s">
        <v>1513</v>
      </c>
      <c r="BK134" s="102" t="s">
        <v>1513</v>
      </c>
      <c r="BL134" s="102" t="s">
        <v>1513</v>
      </c>
      <c r="BM134" s="102" t="s">
        <v>1513</v>
      </c>
      <c r="BN134" s="102" t="s">
        <v>1513</v>
      </c>
      <c r="BO134" s="102" t="s">
        <v>1513</v>
      </c>
      <c r="BP134" s="102" t="s">
        <v>1513</v>
      </c>
      <c r="BQ134" s="102" t="s">
        <v>1513</v>
      </c>
      <c r="BR134" s="102" t="s">
        <v>1513</v>
      </c>
      <c r="BS134" s="116">
        <f t="shared" si="115"/>
        <v>49</v>
      </c>
      <c r="BT134" s="117" t="str">
        <f t="shared" si="116"/>
        <v>-</v>
      </c>
      <c r="BU134" s="118">
        <f t="shared" si="117"/>
        <v>84</v>
      </c>
      <c r="BV134" s="117">
        <f t="shared" si="118"/>
        <v>116</v>
      </c>
      <c r="BW134" s="118">
        <f t="shared" si="119"/>
        <v>120</v>
      </c>
      <c r="BX134" s="117">
        <f t="shared" si="120"/>
        <v>156</v>
      </c>
      <c r="BY134" s="118">
        <f t="shared" si="121"/>
        <v>165</v>
      </c>
      <c r="BZ134" s="117">
        <f t="shared" si="122"/>
        <v>202</v>
      </c>
      <c r="CA134" s="118">
        <f t="shared" si="123"/>
        <v>211</v>
      </c>
      <c r="CB134" s="117">
        <f t="shared" si="124"/>
        <v>253</v>
      </c>
      <c r="CC134" s="118">
        <f t="shared" si="125"/>
        <v>295</v>
      </c>
      <c r="CD134" s="117" t="str">
        <f t="shared" si="126"/>
        <v>-</v>
      </c>
      <c r="CE134" s="116">
        <f t="shared" si="127"/>
        <v>79</v>
      </c>
      <c r="CF134" s="117" t="str">
        <f t="shared" si="128"/>
        <v>-</v>
      </c>
      <c r="CG134" s="118">
        <f t="shared" si="129"/>
        <v>113</v>
      </c>
      <c r="CH134" s="118">
        <f t="shared" si="130"/>
        <v>119</v>
      </c>
      <c r="CI134" s="118">
        <f t="shared" si="131"/>
        <v>155</v>
      </c>
      <c r="CJ134" s="118">
        <f t="shared" si="132"/>
        <v>163</v>
      </c>
      <c r="CK134" s="118">
        <f t="shared" si="133"/>
        <v>190</v>
      </c>
      <c r="CL134" s="118">
        <f t="shared" si="134"/>
        <v>204</v>
      </c>
      <c r="CM134" s="118">
        <f t="shared" si="135"/>
        <v>247</v>
      </c>
      <c r="CN134" s="118">
        <f t="shared" si="136"/>
        <v>289</v>
      </c>
      <c r="CO134" s="118">
        <f t="shared" si="137"/>
        <v>326</v>
      </c>
      <c r="CP134" s="118" t="str">
        <f t="shared" si="138"/>
        <v>-</v>
      </c>
      <c r="CQ134" s="57" t="e">
        <f t="shared" si="139"/>
        <v>#VALUE!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</row>
    <row r="135" spans="1:1026" x14ac:dyDescent="0.2">
      <c r="A135" s="3" t="str">
        <f t="shared" si="112"/>
        <v>p2y12_human__wt</v>
      </c>
      <c r="B135" s="3" t="s">
        <v>545</v>
      </c>
      <c r="C135" s="3" t="s">
        <v>293</v>
      </c>
      <c r="D135" s="3" t="str">
        <f>IFERROR(MID(VLOOKUP($B135,Seqs!$A:$B,2,0),E135,1),"")</f>
        <v>Y</v>
      </c>
      <c r="E135" s="3">
        <v>21</v>
      </c>
      <c r="F135" s="3" t="str">
        <f>IFERROR(MID(VLOOKUP($B135,Seqs!$A:$B,2,0),G135,1),"")</f>
        <v>I</v>
      </c>
      <c r="G135" s="3">
        <v>53</v>
      </c>
      <c r="H135" s="3" t="str">
        <f>IFERROR(MID(VLOOKUP($B135,Seqs!$A:$B,2,0),I135,1),"")</f>
        <v/>
      </c>
      <c r="I135" s="57" t="s">
        <v>129</v>
      </c>
      <c r="J135" s="3" t="str">
        <f>IFERROR(MID(VLOOKUP($B135,Seqs!$A:$B,2,0),K135,1),"")</f>
        <v/>
      </c>
      <c r="K135" s="57" t="s">
        <v>129</v>
      </c>
      <c r="L135" s="3" t="str">
        <f>IFERROR(MID(VLOOKUP($B135,Seqs!$A:$B,2,0),M135,1),"")</f>
        <v>S</v>
      </c>
      <c r="M135" s="3">
        <v>57</v>
      </c>
      <c r="N135" s="3" t="str">
        <f>IFERROR(MID(VLOOKUP($B135,Seqs!$A:$B,2,0),O135,1),"")</f>
        <v>K</v>
      </c>
      <c r="O135" s="3">
        <v>86</v>
      </c>
      <c r="P135" s="3" t="str">
        <f>IFERROR(MID(VLOOKUP($B135,Seqs!$A:$B,2,0),Q135,1),"")</f>
        <v/>
      </c>
      <c r="Q135" s="3" t="s">
        <v>129</v>
      </c>
      <c r="R135" s="3" t="str">
        <f>IFERROR(MID(VLOOKUP($B135,Seqs!$A:$B,2,0),S135,1),"")</f>
        <v/>
      </c>
      <c r="S135" s="3" t="s">
        <v>129</v>
      </c>
      <c r="T135" s="3" t="str">
        <f>IFERROR(MID(VLOOKUP($B135,Seqs!$A:$B,2,0),U135,1),"")</f>
        <v>G</v>
      </c>
      <c r="U135" s="3">
        <v>90</v>
      </c>
      <c r="V135" s="3" t="str">
        <f>IFERROR(MID(VLOOKUP($B135,Seqs!$A:$B,2,0),W135,1),"")</f>
        <v>R</v>
      </c>
      <c r="W135" s="3">
        <v>128</v>
      </c>
      <c r="X135" s="3" t="str">
        <f>IFERROR(MID(VLOOKUP($B135,Seqs!$A:$B,2,0),Y135,1),"")</f>
        <v>P</v>
      </c>
      <c r="Y135" s="3">
        <v>129</v>
      </c>
      <c r="Z135" s="3" t="str">
        <f>IFERROR(MID(VLOOKUP($B135,Seqs!$A:$B,2,0),AA135,1),"")</f>
        <v>K</v>
      </c>
      <c r="AA135" s="119">
        <v>136</v>
      </c>
      <c r="AB135" s="3" t="str">
        <f>IFERROR(MID(VLOOKUP($B135,Seqs!$A:$B,2,0),AC135,1),"")</f>
        <v>L</v>
      </c>
      <c r="AC135" s="3">
        <v>138</v>
      </c>
      <c r="AD135" s="3" t="str">
        <f>IFERROR(MID(VLOOKUP($B135,Seqs!$A:$B,2,0),AE135,1),"")</f>
        <v>T</v>
      </c>
      <c r="AE135" s="3">
        <v>163</v>
      </c>
      <c r="AF135" s="3" t="str">
        <f>IFERROR(MID(VLOOKUP($B135,Seqs!$A:$B,2,0),AG135,1),"")</f>
        <v>C</v>
      </c>
      <c r="AG135" s="3">
        <v>175</v>
      </c>
      <c r="AH135" s="3" t="str">
        <f>IFERROR(MID(VLOOKUP($B135,Seqs!$A:$B,2,0),AI135,1),"")</f>
        <v>F</v>
      </c>
      <c r="AI135" s="3">
        <v>177</v>
      </c>
      <c r="AJ135" s="3" t="str">
        <f>IFERROR(MID(VLOOKUP($B135,Seqs!$A:$B,2,0),AK135,1),"")</f>
        <v>E</v>
      </c>
      <c r="AK135" s="3">
        <v>181</v>
      </c>
      <c r="AL135" s="3" t="str">
        <f>IFERROR(MID(VLOOKUP($B135,Seqs!$A:$B,2,0),AM135,1),"")</f>
        <v>T</v>
      </c>
      <c r="AM135" s="3">
        <v>223</v>
      </c>
      <c r="AN135" s="3" t="str">
        <f>IFERROR(MID(VLOOKUP($B135,Seqs!$A:$B,2,0),AO135,1),"")</f>
        <v>P</v>
      </c>
      <c r="AO135" s="3">
        <v>230</v>
      </c>
      <c r="AP135" s="3" t="str">
        <f>IFERROR(MID(VLOOKUP($B135,Seqs!$A:$B,2,0),AQ135,1),"")</f>
        <v>R</v>
      </c>
      <c r="AQ135" s="3">
        <v>265</v>
      </c>
      <c r="AR135" s="3" t="str">
        <f>IFERROR(MID(VLOOKUP($B135,Seqs!$A:$B,2,0),AS135,1),"")</f>
        <v>D</v>
      </c>
      <c r="AS135" s="3">
        <v>269</v>
      </c>
      <c r="AT135" s="3" t="str">
        <f>IFERROR(MID(VLOOKUP($B135,Seqs!$A:$B,2,0),AU135,1),"")</f>
        <v>L</v>
      </c>
      <c r="AU135" s="3">
        <v>301</v>
      </c>
      <c r="AV135" s="3" t="str">
        <f>IFERROR(MID(VLOOKUP($B135,Seqs!$A:$B,2,0),AW135,1),"")</f>
        <v>C</v>
      </c>
      <c r="AW135" s="3">
        <v>302</v>
      </c>
      <c r="AX135" s="3" t="str">
        <f>IFERROR(MID(VLOOKUP($B135,Seqs!$A:$B,2,0),AY135,1),"")</f>
        <v>M</v>
      </c>
      <c r="AY135" s="3">
        <v>312</v>
      </c>
      <c r="BA135" s="124" t="str">
        <f>VLOOKUP(B135,Classification!A:D,2,0)</f>
        <v>A</v>
      </c>
      <c r="BC135" s="1"/>
      <c r="BD135" s="101" t="e">
        <f>S135-Q135+1</f>
        <v>#VALUE!</v>
      </c>
      <c r="BE135" s="57">
        <f t="shared" si="113"/>
        <v>264</v>
      </c>
      <c r="BF135" s="63" t="b">
        <f t="shared" si="114"/>
        <v>1</v>
      </c>
      <c r="BG135" s="116" t="s">
        <v>1513</v>
      </c>
      <c r="BH135" s="102" t="s">
        <v>1513</v>
      </c>
      <c r="BI135" s="102" t="s">
        <v>1513</v>
      </c>
      <c r="BJ135" s="102" t="s">
        <v>1513</v>
      </c>
      <c r="BK135" s="102" t="s">
        <v>1513</v>
      </c>
      <c r="BL135" s="102" t="s">
        <v>1513</v>
      </c>
      <c r="BM135" s="102" t="s">
        <v>1513</v>
      </c>
      <c r="BN135" s="102" t="s">
        <v>1513</v>
      </c>
      <c r="BO135" s="102" t="s">
        <v>1513</v>
      </c>
      <c r="BP135" s="102" t="s">
        <v>1513</v>
      </c>
      <c r="BQ135" s="102" t="s">
        <v>1513</v>
      </c>
      <c r="BR135" s="102" t="s">
        <v>1513</v>
      </c>
      <c r="BS135" s="116">
        <f t="shared" si="115"/>
        <v>21</v>
      </c>
      <c r="BT135" s="117" t="str">
        <f t="shared" si="116"/>
        <v>-</v>
      </c>
      <c r="BU135" s="118">
        <f t="shared" si="117"/>
        <v>57</v>
      </c>
      <c r="BV135" s="117" t="str">
        <f t="shared" si="118"/>
        <v>-</v>
      </c>
      <c r="BW135" s="118">
        <f t="shared" si="119"/>
        <v>90</v>
      </c>
      <c r="BX135" s="117">
        <f t="shared" si="120"/>
        <v>129</v>
      </c>
      <c r="BY135" s="118">
        <f t="shared" si="121"/>
        <v>138</v>
      </c>
      <c r="BZ135" s="117">
        <f t="shared" si="122"/>
        <v>175</v>
      </c>
      <c r="CA135" s="118">
        <f t="shared" si="123"/>
        <v>181</v>
      </c>
      <c r="CB135" s="117">
        <f t="shared" si="124"/>
        <v>230</v>
      </c>
      <c r="CC135" s="118">
        <f t="shared" si="125"/>
        <v>269</v>
      </c>
      <c r="CD135" s="117">
        <f t="shared" si="126"/>
        <v>302</v>
      </c>
      <c r="CE135" s="116">
        <f t="shared" si="127"/>
        <v>53</v>
      </c>
      <c r="CF135" s="117" t="str">
        <f t="shared" si="128"/>
        <v>-</v>
      </c>
      <c r="CG135" s="118">
        <f t="shared" si="129"/>
        <v>86</v>
      </c>
      <c r="CH135" s="118" t="str">
        <f t="shared" si="130"/>
        <v>-</v>
      </c>
      <c r="CI135" s="118">
        <f t="shared" si="131"/>
        <v>128</v>
      </c>
      <c r="CJ135" s="118">
        <f t="shared" si="132"/>
        <v>136</v>
      </c>
      <c r="CK135" s="118">
        <f t="shared" si="133"/>
        <v>163</v>
      </c>
      <c r="CL135" s="118">
        <f t="shared" si="134"/>
        <v>177</v>
      </c>
      <c r="CM135" s="118">
        <f t="shared" si="135"/>
        <v>223</v>
      </c>
      <c r="CN135" s="118">
        <f t="shared" si="136"/>
        <v>265</v>
      </c>
      <c r="CO135" s="118">
        <f t="shared" si="137"/>
        <v>301</v>
      </c>
      <c r="CP135" s="118">
        <f t="shared" si="138"/>
        <v>312</v>
      </c>
      <c r="CQ135" s="57" t="e">
        <f t="shared" si="139"/>
        <v>#VALUE!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</row>
    <row r="136" spans="1:1026" x14ac:dyDescent="0.2">
      <c r="A136" s="3" t="str">
        <f t="shared" si="112"/>
        <v>p2y12_human_4NTJ</v>
      </c>
      <c r="B136" s="3" t="s">
        <v>545</v>
      </c>
      <c r="C136" s="3" t="s">
        <v>1254</v>
      </c>
      <c r="D136" s="3" t="str">
        <f>IFERROR(MID(VLOOKUP($B136,Seqs!$A:$B,2,0),E136,1),"")</f>
        <v>Y</v>
      </c>
      <c r="E136" s="3">
        <v>21</v>
      </c>
      <c r="F136" s="3" t="str">
        <f>IFERROR(MID(VLOOKUP($B136,Seqs!$A:$B,2,0),G136,1),"")</f>
        <v>I</v>
      </c>
      <c r="G136" s="3">
        <v>53</v>
      </c>
      <c r="H136" s="3" t="str">
        <f>IFERROR(MID(VLOOKUP($B136,Seqs!$A:$B,2,0),I136,1),"")</f>
        <v/>
      </c>
      <c r="I136" s="57" t="s">
        <v>129</v>
      </c>
      <c r="J136" s="3" t="str">
        <f>IFERROR(MID(VLOOKUP($B136,Seqs!$A:$B,2,0),K136,1),"")</f>
        <v/>
      </c>
      <c r="K136" s="57" t="s">
        <v>129</v>
      </c>
      <c r="L136" s="3" t="str">
        <f>IFERROR(MID(VLOOKUP($B136,Seqs!$A:$B,2,0),M136,1),"")</f>
        <v>S</v>
      </c>
      <c r="M136" s="3">
        <v>57</v>
      </c>
      <c r="N136" s="3" t="str">
        <f>IFERROR(MID(VLOOKUP($B136,Seqs!$A:$B,2,0),O136,1),"")</f>
        <v>K</v>
      </c>
      <c r="O136" s="3">
        <v>86</v>
      </c>
      <c r="P136" s="3" t="str">
        <f>IFERROR(MID(VLOOKUP($B136,Seqs!$A:$B,2,0),Q136,1),"")</f>
        <v/>
      </c>
      <c r="Q136" s="3" t="s">
        <v>129</v>
      </c>
      <c r="R136" s="3" t="str">
        <f>IFERROR(MID(VLOOKUP($B136,Seqs!$A:$B,2,0),S136,1),"")</f>
        <v/>
      </c>
      <c r="S136" s="3" t="s">
        <v>129</v>
      </c>
      <c r="T136" s="3" t="str">
        <f>IFERROR(MID(VLOOKUP($B136,Seqs!$A:$B,2,0),U136,1),"")</f>
        <v>L</v>
      </c>
      <c r="U136" s="3">
        <v>92</v>
      </c>
      <c r="V136" s="3" t="str">
        <f>IFERROR(MID(VLOOKUP($B136,Seqs!$A:$B,2,0),W136,1),"")</f>
        <v>R</v>
      </c>
      <c r="W136" s="3">
        <v>128</v>
      </c>
      <c r="X136" s="3" t="str">
        <f>IFERROR(MID(VLOOKUP($B136,Seqs!$A:$B,2,0),Y136,1),"")</f>
        <v/>
      </c>
      <c r="Y136" s="3" t="s">
        <v>129</v>
      </c>
      <c r="Z136" s="3" t="str">
        <f>IFERROR(MID(VLOOKUP($B136,Seqs!$A:$B,2,0),AA136,1),"")</f>
        <v/>
      </c>
      <c r="AA136" s="3" t="s">
        <v>129</v>
      </c>
      <c r="AB136" s="3" t="str">
        <f>IFERROR(MID(VLOOKUP($B136,Seqs!$A:$B,2,0),AC136,1),"")</f>
        <v>N</v>
      </c>
      <c r="AC136" s="3">
        <v>137</v>
      </c>
      <c r="AD136" s="3" t="str">
        <f>IFERROR(MID(VLOOKUP($B136,Seqs!$A:$B,2,0),AE136,1),"")</f>
        <v>L</v>
      </c>
      <c r="AE136" s="3">
        <v>162</v>
      </c>
      <c r="AF136" s="3" t="str">
        <f>IFERROR(MID(VLOOKUP($B136,Seqs!$A:$B,2,0),AG136,1),"")</f>
        <v>C</v>
      </c>
      <c r="AG136" s="3">
        <v>175</v>
      </c>
      <c r="AH136" s="3" t="str">
        <f>IFERROR(MID(VLOOKUP($B136,Seqs!$A:$B,2,0),AI136,1),"")</f>
        <v>F</v>
      </c>
      <c r="AI136" s="3">
        <v>177</v>
      </c>
      <c r="AJ136" s="3" t="str">
        <f>IFERROR(MID(VLOOKUP($B136,Seqs!$A:$B,2,0),AK136,1),"")</f>
        <v>E</v>
      </c>
      <c r="AK136" s="3">
        <v>181</v>
      </c>
      <c r="AL136" s="3" t="str">
        <f>IFERROR(MID(VLOOKUP($B136,Seqs!$A:$B,2,0),AM136,1),"")</f>
        <v>T</v>
      </c>
      <c r="AM136" s="3">
        <v>223</v>
      </c>
      <c r="AN136" s="3" t="str">
        <f>IFERROR(MID(VLOOKUP($B136,Seqs!$A:$B,2,0),AO136,1),"")</f>
        <v>I</v>
      </c>
      <c r="AO136" s="3">
        <v>240</v>
      </c>
      <c r="AP136" s="3" t="str">
        <f>IFERROR(MID(VLOOKUP($B136,Seqs!$A:$B,2,0),AQ136,1),"")</f>
        <v>L</v>
      </c>
      <c r="AQ136" s="3">
        <v>261</v>
      </c>
      <c r="AR136" s="3" t="str">
        <f>IFERROR(MID(VLOOKUP($B136,Seqs!$A:$B,2,0),AS136,1),"")</f>
        <v>D</v>
      </c>
      <c r="AS136" s="3">
        <v>269</v>
      </c>
      <c r="AT136" s="3" t="str">
        <f>IFERROR(MID(VLOOKUP($B136,Seqs!$A:$B,2,0),AU136,1),"")</f>
        <v>L</v>
      </c>
      <c r="AU136" s="3">
        <v>301</v>
      </c>
      <c r="AV136" s="3" t="str">
        <f>IFERROR(MID(VLOOKUP($B136,Seqs!$A:$B,2,0),AW136,1),"")</f>
        <v>C</v>
      </c>
      <c r="AW136" s="3">
        <v>302</v>
      </c>
      <c r="AX136" s="3" t="str">
        <f>IFERROR(MID(VLOOKUP($B136,Seqs!$A:$B,2,0),AY136,1),"")</f>
        <v>M</v>
      </c>
      <c r="AY136" s="3">
        <v>312</v>
      </c>
      <c r="BA136" s="124" t="str">
        <f>VLOOKUP(B136,Classification!A:D,2,0)</f>
        <v>A</v>
      </c>
      <c r="BC136" s="3" t="s">
        <v>1389</v>
      </c>
      <c r="BD136" s="2" t="s">
        <v>1329</v>
      </c>
      <c r="BE136" s="57">
        <f t="shared" si="113"/>
        <v>241</v>
      </c>
      <c r="BF136" s="63" t="b">
        <f t="shared" si="114"/>
        <v>1</v>
      </c>
      <c r="BG136" s="116" t="s">
        <v>1513</v>
      </c>
      <c r="BH136" s="102" t="s">
        <v>1513</v>
      </c>
      <c r="BI136" s="102" t="s">
        <v>1513</v>
      </c>
      <c r="BJ136" s="102" t="s">
        <v>1513</v>
      </c>
      <c r="BK136" s="102" t="s">
        <v>1513</v>
      </c>
      <c r="BL136" s="102" t="s">
        <v>1513</v>
      </c>
      <c r="BM136" s="102" t="s">
        <v>1513</v>
      </c>
      <c r="BN136" s="102" t="s">
        <v>1513</v>
      </c>
      <c r="BO136" s="102" t="s">
        <v>1513</v>
      </c>
      <c r="BP136" s="102" t="s">
        <v>1513</v>
      </c>
      <c r="BQ136" s="102" t="s">
        <v>1513</v>
      </c>
      <c r="BR136" s="102" t="s">
        <v>1513</v>
      </c>
      <c r="BS136" s="116">
        <f t="shared" si="115"/>
        <v>21</v>
      </c>
      <c r="BT136" s="117" t="str">
        <f t="shared" si="116"/>
        <v>-</v>
      </c>
      <c r="BU136" s="118">
        <f t="shared" si="117"/>
        <v>57</v>
      </c>
      <c r="BV136" s="117" t="str">
        <f t="shared" si="118"/>
        <v>-</v>
      </c>
      <c r="BW136" s="118">
        <f t="shared" si="119"/>
        <v>92</v>
      </c>
      <c r="BX136" s="117" t="str">
        <f t="shared" si="120"/>
        <v>-</v>
      </c>
      <c r="BY136" s="118">
        <f t="shared" si="121"/>
        <v>137</v>
      </c>
      <c r="BZ136" s="117">
        <f t="shared" si="122"/>
        <v>175</v>
      </c>
      <c r="CA136" s="118">
        <f t="shared" si="123"/>
        <v>181</v>
      </c>
      <c r="CB136" s="117">
        <f t="shared" si="124"/>
        <v>240</v>
      </c>
      <c r="CC136" s="118">
        <f t="shared" si="125"/>
        <v>269</v>
      </c>
      <c r="CD136" s="117">
        <f t="shared" si="126"/>
        <v>302</v>
      </c>
      <c r="CE136" s="116">
        <f t="shared" si="127"/>
        <v>53</v>
      </c>
      <c r="CF136" s="117" t="str">
        <f t="shared" si="128"/>
        <v>-</v>
      </c>
      <c r="CG136" s="118">
        <f t="shared" si="129"/>
        <v>86</v>
      </c>
      <c r="CH136" s="118" t="str">
        <f t="shared" si="130"/>
        <v>-</v>
      </c>
      <c r="CI136" s="118">
        <f t="shared" si="131"/>
        <v>128</v>
      </c>
      <c r="CJ136" s="118" t="str">
        <f t="shared" si="132"/>
        <v>-</v>
      </c>
      <c r="CK136" s="118">
        <f t="shared" si="133"/>
        <v>162</v>
      </c>
      <c r="CL136" s="118">
        <f t="shared" si="134"/>
        <v>177</v>
      </c>
      <c r="CM136" s="118">
        <f t="shared" si="135"/>
        <v>223</v>
      </c>
      <c r="CN136" s="118">
        <f t="shared" si="136"/>
        <v>261</v>
      </c>
      <c r="CO136" s="118">
        <f t="shared" si="137"/>
        <v>301</v>
      </c>
      <c r="CP136" s="118">
        <f t="shared" si="138"/>
        <v>312</v>
      </c>
      <c r="CQ136" s="57" t="e">
        <f t="shared" si="139"/>
        <v>#VALUE!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</row>
    <row r="137" spans="1:1026" x14ac:dyDescent="0.2">
      <c r="A137" s="3" t="str">
        <f t="shared" si="112"/>
        <v>p2y12_human_4PXZ</v>
      </c>
      <c r="B137" s="3" t="s">
        <v>545</v>
      </c>
      <c r="C137" s="3" t="s">
        <v>1371</v>
      </c>
      <c r="D137" s="3" t="str">
        <f>IFERROR(MID(VLOOKUP($B137,Seqs!$A:$B,2,0),E137,1),"")</f>
        <v>I</v>
      </c>
      <c r="E137" s="3">
        <v>23</v>
      </c>
      <c r="F137" s="3" t="str">
        <f>IFERROR(MID(VLOOKUP($B137,Seqs!$A:$B,2,0),G137,1),"")</f>
        <v>I</v>
      </c>
      <c r="G137" s="3">
        <v>53</v>
      </c>
      <c r="H137" s="3" t="str">
        <f>IFERROR(MID(VLOOKUP($B137,Seqs!$A:$B,2,0),I137,1),"")</f>
        <v/>
      </c>
      <c r="I137" s="57" t="s">
        <v>129</v>
      </c>
      <c r="J137" s="3" t="str">
        <f>IFERROR(MID(VLOOKUP($B137,Seqs!$A:$B,2,0),K137,1),"")</f>
        <v/>
      </c>
      <c r="K137" s="57" t="s">
        <v>129</v>
      </c>
      <c r="L137" s="3" t="str">
        <f>IFERROR(MID(VLOOKUP($B137,Seqs!$A:$B,2,0),M137,1),"")</f>
        <v>S</v>
      </c>
      <c r="M137" s="3">
        <v>57</v>
      </c>
      <c r="N137" s="3" t="str">
        <f>IFERROR(MID(VLOOKUP($B137,Seqs!$A:$B,2,0),O137,1),"")</f>
        <v>K</v>
      </c>
      <c r="O137" s="3">
        <v>86</v>
      </c>
      <c r="P137" s="3" t="str">
        <f>IFERROR(MID(VLOOKUP($B137,Seqs!$A:$B,2,0),Q137,1),"")</f>
        <v/>
      </c>
      <c r="Q137" s="3" t="s">
        <v>129</v>
      </c>
      <c r="R137" s="3" t="str">
        <f>IFERROR(MID(VLOOKUP($B137,Seqs!$A:$B,2,0),S137,1),"")</f>
        <v/>
      </c>
      <c r="S137" s="3" t="s">
        <v>129</v>
      </c>
      <c r="T137" s="3" t="str">
        <f>IFERROR(MID(VLOOKUP($B137,Seqs!$A:$B,2,0),U137,1),"")</f>
        <v>G</v>
      </c>
      <c r="U137" s="3">
        <v>90</v>
      </c>
      <c r="V137" s="3" t="str">
        <f>IFERROR(MID(VLOOKUP($B137,Seqs!$A:$B,2,0),W137,1),"")</f>
        <v>R</v>
      </c>
      <c r="W137" s="3">
        <v>128</v>
      </c>
      <c r="X137" s="3" t="str">
        <f>IFERROR(MID(VLOOKUP($B137,Seqs!$A:$B,2,0),Y137,1),"")</f>
        <v/>
      </c>
      <c r="Y137" s="3" t="s">
        <v>129</v>
      </c>
      <c r="Z137" s="3" t="str">
        <f>IFERROR(MID(VLOOKUP($B137,Seqs!$A:$B,2,0),AA137,1),"")</f>
        <v/>
      </c>
      <c r="AA137" s="3" t="s">
        <v>129</v>
      </c>
      <c r="AB137" s="3" t="str">
        <f>IFERROR(MID(VLOOKUP($B137,Seqs!$A:$B,2,0),AC137,1),"")</f>
        <v>N</v>
      </c>
      <c r="AC137" s="3">
        <v>137</v>
      </c>
      <c r="AD137" s="3" t="str">
        <f>IFERROR(MID(VLOOKUP($B137,Seqs!$A:$B,2,0),AE137,1),"")</f>
        <v>T</v>
      </c>
      <c r="AE137" s="3">
        <v>163</v>
      </c>
      <c r="AF137" s="3" t="str">
        <f>IFERROR(MID(VLOOKUP($B137,Seqs!$A:$B,2,0),AG137,1),"")</f>
        <v>C</v>
      </c>
      <c r="AG137" s="3">
        <v>175</v>
      </c>
      <c r="AH137" s="3" t="str">
        <f>IFERROR(MID(VLOOKUP($B137,Seqs!$A:$B,2,0),AI137,1),"")</f>
        <v>F</v>
      </c>
      <c r="AI137" s="3">
        <v>177</v>
      </c>
      <c r="AJ137" s="3" t="str">
        <f>IFERROR(MID(VLOOKUP($B137,Seqs!$A:$B,2,0),AK137,1),"")</f>
        <v>E</v>
      </c>
      <c r="AK137" s="3">
        <v>181</v>
      </c>
      <c r="AL137" s="3" t="str">
        <f>IFERROR(MID(VLOOKUP($B137,Seqs!$A:$B,2,0),AM137,1),"")</f>
        <v>S</v>
      </c>
      <c r="AM137" s="3">
        <v>219</v>
      </c>
      <c r="AN137" s="3" t="str">
        <f>IFERROR(MID(VLOOKUP($B137,Seqs!$A:$B,2,0),AO137,1),"")</f>
        <v>V</v>
      </c>
      <c r="AO137" s="3">
        <v>236</v>
      </c>
      <c r="AP137" s="3" t="str">
        <f>IFERROR(MID(VLOOKUP($B137,Seqs!$A:$B,2,0),AQ137,1),"")</f>
        <v>R</v>
      </c>
      <c r="AQ137" s="3">
        <v>265</v>
      </c>
      <c r="AR137" s="3" t="str">
        <f>IFERROR(MID(VLOOKUP($B137,Seqs!$A:$B,2,0),AS137,1),"")</f>
        <v>D</v>
      </c>
      <c r="AS137" s="3">
        <v>269</v>
      </c>
      <c r="AT137" s="3" t="str">
        <f>IFERROR(MID(VLOOKUP($B137,Seqs!$A:$B,2,0),AU137,1),"")</f>
        <v>C</v>
      </c>
      <c r="AU137" s="3">
        <v>292</v>
      </c>
      <c r="AV137" s="3" t="str">
        <f>IFERROR(MID(VLOOKUP($B137,Seqs!$A:$B,2,0),AW137,1),"")</f>
        <v/>
      </c>
      <c r="AW137" s="3" t="s">
        <v>129</v>
      </c>
      <c r="AX137" s="3" t="str">
        <f>IFERROR(MID(VLOOKUP($B137,Seqs!$A:$B,2,0),AY137,1),"")</f>
        <v/>
      </c>
      <c r="AY137" s="3" t="s">
        <v>129</v>
      </c>
      <c r="BA137" s="124" t="str">
        <f>VLOOKUP(B137,Classification!A:D,2,0)</f>
        <v>A</v>
      </c>
      <c r="BC137" s="1"/>
      <c r="BD137" s="5"/>
      <c r="BE137" s="57">
        <f t="shared" si="113"/>
        <v>227</v>
      </c>
      <c r="BF137" s="63" t="b">
        <f t="shared" si="114"/>
        <v>1</v>
      </c>
      <c r="BG137" s="116" t="s">
        <v>1513</v>
      </c>
      <c r="BH137" s="102" t="s">
        <v>1513</v>
      </c>
      <c r="BI137" s="102" t="s">
        <v>1513</v>
      </c>
      <c r="BJ137" s="102" t="s">
        <v>1513</v>
      </c>
      <c r="BK137" s="102" t="s">
        <v>1513</v>
      </c>
      <c r="BL137" s="102" t="s">
        <v>1513</v>
      </c>
      <c r="BM137" s="102" t="s">
        <v>1513</v>
      </c>
      <c r="BN137" s="102" t="s">
        <v>1513</v>
      </c>
      <c r="BO137" s="102" t="s">
        <v>1513</v>
      </c>
      <c r="BP137" s="102" t="s">
        <v>1513</v>
      </c>
      <c r="BQ137" s="102" t="s">
        <v>1513</v>
      </c>
      <c r="BR137" s="102" t="s">
        <v>1513</v>
      </c>
      <c r="BS137" s="116">
        <f t="shared" si="115"/>
        <v>23</v>
      </c>
      <c r="BT137" s="117" t="str">
        <f t="shared" si="116"/>
        <v>-</v>
      </c>
      <c r="BU137" s="118">
        <f t="shared" si="117"/>
        <v>57</v>
      </c>
      <c r="BV137" s="117" t="str">
        <f t="shared" si="118"/>
        <v>-</v>
      </c>
      <c r="BW137" s="118">
        <f t="shared" si="119"/>
        <v>90</v>
      </c>
      <c r="BX137" s="117" t="str">
        <f t="shared" si="120"/>
        <v>-</v>
      </c>
      <c r="BY137" s="118">
        <f t="shared" si="121"/>
        <v>137</v>
      </c>
      <c r="BZ137" s="117">
        <f t="shared" si="122"/>
        <v>175</v>
      </c>
      <c r="CA137" s="118">
        <f t="shared" si="123"/>
        <v>181</v>
      </c>
      <c r="CB137" s="117">
        <f t="shared" si="124"/>
        <v>236</v>
      </c>
      <c r="CC137" s="118">
        <f t="shared" si="125"/>
        <v>269</v>
      </c>
      <c r="CD137" s="117" t="str">
        <f t="shared" si="126"/>
        <v>-</v>
      </c>
      <c r="CE137" s="116">
        <f t="shared" si="127"/>
        <v>53</v>
      </c>
      <c r="CF137" s="117" t="str">
        <f t="shared" si="128"/>
        <v>-</v>
      </c>
      <c r="CG137" s="118">
        <f t="shared" si="129"/>
        <v>86</v>
      </c>
      <c r="CH137" s="118" t="str">
        <f t="shared" si="130"/>
        <v>-</v>
      </c>
      <c r="CI137" s="118">
        <f t="shared" si="131"/>
        <v>128</v>
      </c>
      <c r="CJ137" s="118" t="str">
        <f t="shared" si="132"/>
        <v>-</v>
      </c>
      <c r="CK137" s="118">
        <f t="shared" si="133"/>
        <v>163</v>
      </c>
      <c r="CL137" s="118">
        <f t="shared" si="134"/>
        <v>177</v>
      </c>
      <c r="CM137" s="118">
        <f t="shared" si="135"/>
        <v>219</v>
      </c>
      <c r="CN137" s="118">
        <f t="shared" si="136"/>
        <v>265</v>
      </c>
      <c r="CO137" s="118">
        <f t="shared" si="137"/>
        <v>292</v>
      </c>
      <c r="CP137" s="118" t="str">
        <f t="shared" si="138"/>
        <v>-</v>
      </c>
      <c r="CQ137" s="57" t="e">
        <f t="shared" si="139"/>
        <v>#VALUE!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</row>
    <row r="138" spans="1:1026" x14ac:dyDescent="0.2">
      <c r="A138" s="3" t="str">
        <f t="shared" si="112"/>
        <v>p2y12_human_4PY0</v>
      </c>
      <c r="B138" s="3" t="s">
        <v>545</v>
      </c>
      <c r="C138" s="3" t="s">
        <v>1256</v>
      </c>
      <c r="D138" s="3" t="str">
        <f>IFERROR(MID(VLOOKUP($B138,Seqs!$A:$B,2,0),E138,1),"")</f>
        <v>I</v>
      </c>
      <c r="E138" s="3">
        <v>23</v>
      </c>
      <c r="F138" s="3" t="str">
        <f>IFERROR(MID(VLOOKUP($B138,Seqs!$A:$B,2,0),G138,1),"")</f>
        <v>I</v>
      </c>
      <c r="G138" s="3">
        <v>53</v>
      </c>
      <c r="H138" s="3" t="str">
        <f>IFERROR(MID(VLOOKUP($B138,Seqs!$A:$B,2,0),I138,1),"")</f>
        <v/>
      </c>
      <c r="I138" s="57" t="s">
        <v>129</v>
      </c>
      <c r="J138" s="3" t="str">
        <f>IFERROR(MID(VLOOKUP($B138,Seqs!$A:$B,2,0),K138,1),"")</f>
        <v/>
      </c>
      <c r="K138" s="57" t="s">
        <v>129</v>
      </c>
      <c r="L138" s="3" t="str">
        <f>IFERROR(MID(VLOOKUP($B138,Seqs!$A:$B,2,0),M138,1),"")</f>
        <v>S</v>
      </c>
      <c r="M138" s="3">
        <v>57</v>
      </c>
      <c r="N138" s="3" t="str">
        <f>IFERROR(MID(VLOOKUP($B138,Seqs!$A:$B,2,0),O138,1),"")</f>
        <v>K</v>
      </c>
      <c r="O138" s="3">
        <v>86</v>
      </c>
      <c r="P138" s="3" t="str">
        <f>IFERROR(MID(VLOOKUP($B138,Seqs!$A:$B,2,0),Q138,1),"")</f>
        <v/>
      </c>
      <c r="Q138" s="3" t="s">
        <v>129</v>
      </c>
      <c r="R138" s="3" t="str">
        <f>IFERROR(MID(VLOOKUP($B138,Seqs!$A:$B,2,0),S138,1),"")</f>
        <v/>
      </c>
      <c r="S138" s="3" t="s">
        <v>129</v>
      </c>
      <c r="T138" s="3" t="str">
        <f>IFERROR(MID(VLOOKUP($B138,Seqs!$A:$B,2,0),U138,1),"")</f>
        <v>G</v>
      </c>
      <c r="U138" s="3">
        <v>90</v>
      </c>
      <c r="V138" s="3" t="str">
        <f>IFERROR(MID(VLOOKUP($B138,Seqs!$A:$B,2,0),W138,1),"")</f>
        <v>R</v>
      </c>
      <c r="W138" s="3">
        <v>128</v>
      </c>
      <c r="X138" s="3" t="str">
        <f>IFERROR(MID(VLOOKUP($B138,Seqs!$A:$B,2,0),Y138,1),"")</f>
        <v/>
      </c>
      <c r="Y138" s="3" t="s">
        <v>129</v>
      </c>
      <c r="Z138" s="3" t="str">
        <f>IFERROR(MID(VLOOKUP($B138,Seqs!$A:$B,2,0),AA138,1),"")</f>
        <v/>
      </c>
      <c r="AA138" s="3" t="s">
        <v>129</v>
      </c>
      <c r="AB138" s="3" t="str">
        <f>IFERROR(MID(VLOOKUP($B138,Seqs!$A:$B,2,0),AC138,1),"")</f>
        <v>N</v>
      </c>
      <c r="AC138" s="3">
        <v>137</v>
      </c>
      <c r="AD138" s="3" t="str">
        <f>IFERROR(MID(VLOOKUP($B138,Seqs!$A:$B,2,0),AE138,1),"")</f>
        <v>T</v>
      </c>
      <c r="AE138" s="3">
        <v>163</v>
      </c>
      <c r="AF138" s="3" t="str">
        <f>IFERROR(MID(VLOOKUP($B138,Seqs!$A:$B,2,0),AG138,1),"")</f>
        <v>C</v>
      </c>
      <c r="AG138" s="3">
        <v>175</v>
      </c>
      <c r="AH138" s="3" t="str">
        <f>IFERROR(MID(VLOOKUP($B138,Seqs!$A:$B,2,0),AI138,1),"")</f>
        <v>F</v>
      </c>
      <c r="AI138" s="3">
        <v>177</v>
      </c>
      <c r="AJ138" s="3" t="str">
        <f>IFERROR(MID(VLOOKUP($B138,Seqs!$A:$B,2,0),AK138,1),"")</f>
        <v>E</v>
      </c>
      <c r="AK138" s="3">
        <v>181</v>
      </c>
      <c r="AL138" s="3" t="str">
        <f>IFERROR(MID(VLOOKUP($B138,Seqs!$A:$B,2,0),AM138,1),"")</f>
        <v>S</v>
      </c>
      <c r="AM138" s="3">
        <v>219</v>
      </c>
      <c r="AN138" s="3" t="str">
        <f>IFERROR(MID(VLOOKUP($B138,Seqs!$A:$B,2,0),AO138,1),"")</f>
        <v>V</v>
      </c>
      <c r="AO138" s="3">
        <v>236</v>
      </c>
      <c r="AP138" s="3" t="str">
        <f>IFERROR(MID(VLOOKUP($B138,Seqs!$A:$B,2,0),AQ138,1),"")</f>
        <v>R</v>
      </c>
      <c r="AQ138" s="3">
        <v>265</v>
      </c>
      <c r="AR138" s="3" t="str">
        <f>IFERROR(MID(VLOOKUP($B138,Seqs!$A:$B,2,0),AS138,1),"")</f>
        <v>D</v>
      </c>
      <c r="AS138" s="3">
        <v>269</v>
      </c>
      <c r="AT138" s="3" t="str">
        <f>IFERROR(MID(VLOOKUP($B138,Seqs!$A:$B,2,0),AU138,1),"")</f>
        <v>C</v>
      </c>
      <c r="AU138" s="3">
        <v>292</v>
      </c>
      <c r="AV138" s="3" t="str">
        <f>IFERROR(MID(VLOOKUP($B138,Seqs!$A:$B,2,0),AW138,1),"")</f>
        <v/>
      </c>
      <c r="AW138" s="3" t="s">
        <v>129</v>
      </c>
      <c r="AX138" s="3" t="str">
        <f>IFERROR(MID(VLOOKUP($B138,Seqs!$A:$B,2,0),AY138,1),"")</f>
        <v/>
      </c>
      <c r="AY138" s="3" t="s">
        <v>129</v>
      </c>
      <c r="BA138" s="124" t="str">
        <f>VLOOKUP(B138,Classification!A:D,2,0)</f>
        <v>A</v>
      </c>
      <c r="BC138" s="1"/>
      <c r="BD138" s="4"/>
      <c r="BE138" s="57">
        <f t="shared" si="113"/>
        <v>227</v>
      </c>
      <c r="BF138" s="63" t="b">
        <f t="shared" si="114"/>
        <v>1</v>
      </c>
      <c r="BG138" s="116" t="s">
        <v>1513</v>
      </c>
      <c r="BH138" s="102" t="s">
        <v>1513</v>
      </c>
      <c r="BI138" s="102" t="s">
        <v>1513</v>
      </c>
      <c r="BJ138" s="102" t="s">
        <v>1513</v>
      </c>
      <c r="BK138" s="102" t="s">
        <v>1513</v>
      </c>
      <c r="BL138" s="102" t="s">
        <v>1513</v>
      </c>
      <c r="BM138" s="102" t="s">
        <v>1513</v>
      </c>
      <c r="BN138" s="102" t="s">
        <v>1513</v>
      </c>
      <c r="BO138" s="102" t="s">
        <v>1513</v>
      </c>
      <c r="BP138" s="102" t="s">
        <v>1513</v>
      </c>
      <c r="BQ138" s="102" t="s">
        <v>1513</v>
      </c>
      <c r="BR138" s="102" t="s">
        <v>1513</v>
      </c>
      <c r="BS138" s="116">
        <f t="shared" si="115"/>
        <v>23</v>
      </c>
      <c r="BT138" s="117" t="str">
        <f t="shared" si="116"/>
        <v>-</v>
      </c>
      <c r="BU138" s="118">
        <f t="shared" si="117"/>
        <v>57</v>
      </c>
      <c r="BV138" s="117" t="str">
        <f t="shared" si="118"/>
        <v>-</v>
      </c>
      <c r="BW138" s="118">
        <f t="shared" si="119"/>
        <v>90</v>
      </c>
      <c r="BX138" s="117" t="str">
        <f t="shared" si="120"/>
        <v>-</v>
      </c>
      <c r="BY138" s="118">
        <f t="shared" si="121"/>
        <v>137</v>
      </c>
      <c r="BZ138" s="117">
        <f t="shared" si="122"/>
        <v>175</v>
      </c>
      <c r="CA138" s="118">
        <f t="shared" si="123"/>
        <v>181</v>
      </c>
      <c r="CB138" s="117">
        <f t="shared" si="124"/>
        <v>236</v>
      </c>
      <c r="CC138" s="118">
        <f t="shared" si="125"/>
        <v>269</v>
      </c>
      <c r="CD138" s="117" t="str">
        <f t="shared" si="126"/>
        <v>-</v>
      </c>
      <c r="CE138" s="116">
        <f t="shared" si="127"/>
        <v>53</v>
      </c>
      <c r="CF138" s="117" t="str">
        <f t="shared" si="128"/>
        <v>-</v>
      </c>
      <c r="CG138" s="118">
        <f t="shared" si="129"/>
        <v>86</v>
      </c>
      <c r="CH138" s="118" t="str">
        <f t="shared" si="130"/>
        <v>-</v>
      </c>
      <c r="CI138" s="118">
        <f t="shared" si="131"/>
        <v>128</v>
      </c>
      <c r="CJ138" s="118" t="str">
        <f t="shared" si="132"/>
        <v>-</v>
      </c>
      <c r="CK138" s="118">
        <f t="shared" si="133"/>
        <v>163</v>
      </c>
      <c r="CL138" s="118">
        <f t="shared" si="134"/>
        <v>177</v>
      </c>
      <c r="CM138" s="118">
        <f t="shared" si="135"/>
        <v>219</v>
      </c>
      <c r="CN138" s="118">
        <f t="shared" si="136"/>
        <v>265</v>
      </c>
      <c r="CO138" s="118">
        <f t="shared" si="137"/>
        <v>292</v>
      </c>
      <c r="CP138" s="118" t="str">
        <f t="shared" si="138"/>
        <v>-</v>
      </c>
      <c r="CQ138" s="57" t="e">
        <f t="shared" si="139"/>
        <v>#VALUE!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</row>
    <row r="139" spans="1:1026" x14ac:dyDescent="0.2">
      <c r="A139" s="3" t="str">
        <f t="shared" si="112"/>
        <v>par1_human__wt</v>
      </c>
      <c r="B139" s="3" t="s">
        <v>548</v>
      </c>
      <c r="C139" s="3" t="s">
        <v>293</v>
      </c>
      <c r="D139" s="3" t="str">
        <f>IFERROR(MID(VLOOKUP($B139,Seqs!$A:$B,2,0),E139,1),"")</f>
        <v>S</v>
      </c>
      <c r="E139" s="3">
        <v>99</v>
      </c>
      <c r="F139" s="3" t="str">
        <f>IFERROR(MID(VLOOKUP($B139,Seqs!$A:$B,2,0),G139,1),"")</f>
        <v>K</v>
      </c>
      <c r="G139" s="3">
        <v>130</v>
      </c>
      <c r="H139" s="3" t="str">
        <f>IFERROR(MID(VLOOKUP($B139,Seqs!$A:$B,2,0),I139,1),"")</f>
        <v>M</v>
      </c>
      <c r="I139" s="57">
        <v>131</v>
      </c>
      <c r="J139" s="3" t="str">
        <f>IFERROR(MID(VLOOKUP($B139,Seqs!$A:$B,2,0),K139,1),"")</f>
        <v>K</v>
      </c>
      <c r="K139" s="57">
        <v>134</v>
      </c>
      <c r="L139" s="3" t="str">
        <f>IFERROR(MID(VLOOKUP($B139,Seqs!$A:$B,2,0),M139,1),"")</f>
        <v>K</v>
      </c>
      <c r="M139" s="3">
        <v>135</v>
      </c>
      <c r="N139" s="3" t="str">
        <f>IFERROR(MID(VLOOKUP($B139,Seqs!$A:$B,2,0),O139,1),"")</f>
        <v>S</v>
      </c>
      <c r="O139" s="3">
        <v>164</v>
      </c>
      <c r="P139" s="3" t="str">
        <f>IFERROR(MID(VLOOKUP($B139,Seqs!$A:$B,2,0),Q139,1),"")</f>
        <v>D</v>
      </c>
      <c r="Q139" s="3">
        <v>167</v>
      </c>
      <c r="R139" s="3" t="str">
        <f>IFERROR(MID(VLOOKUP($B139,Seqs!$A:$B,2,0),S139,1),"")</f>
        <v>F</v>
      </c>
      <c r="S139" s="3">
        <v>170</v>
      </c>
      <c r="T139" s="3" t="str">
        <f>IFERROR(MID(VLOOKUP($B139,Seqs!$A:$B,2,0),U139,1),"")</f>
        <v>G</v>
      </c>
      <c r="U139" s="3">
        <v>171</v>
      </c>
      <c r="V139" s="3" t="str">
        <f>IFERROR(MID(VLOOKUP($B139,Seqs!$A:$B,2,0),W139,1),"")</f>
        <v>Y</v>
      </c>
      <c r="W139" s="3">
        <v>206</v>
      </c>
      <c r="X139" s="3" t="str">
        <f>IFERROR(MID(VLOOKUP($B139,Seqs!$A:$B,2,0),Y139,1),"")</f>
        <v>P</v>
      </c>
      <c r="Y139" s="3">
        <v>207</v>
      </c>
      <c r="Z139" s="3" t="str">
        <f>IFERROR(MID(VLOOKUP($B139,Seqs!$A:$B,2,0),AA139,1),"")</f>
        <v>R</v>
      </c>
      <c r="AA139" s="3">
        <v>214</v>
      </c>
      <c r="AB139" s="3" t="str">
        <f>IFERROR(MID(VLOOKUP($B139,Seqs!$A:$B,2,0),AC139,1),"")</f>
        <v>L</v>
      </c>
      <c r="AC139" s="3">
        <v>216</v>
      </c>
      <c r="AD139" s="3" t="str">
        <f>IFERROR(MID(VLOOKUP($B139,Seqs!$A:$B,2,0),AE139,1),"")</f>
        <v>K</v>
      </c>
      <c r="AE139" s="3">
        <v>240</v>
      </c>
      <c r="AF139" s="3" t="str">
        <f>IFERROR(MID(VLOOKUP($B139,Seqs!$A:$B,2,0),AG139,1),"")</f>
        <v>C</v>
      </c>
      <c r="AG139" s="3">
        <v>254</v>
      </c>
      <c r="AH139" s="3" t="str">
        <f>IFERROR(MID(VLOOKUP($B139,Seqs!$A:$B,2,0),AI139,1),"")</f>
        <v>D</v>
      </c>
      <c r="AI139" s="3">
        <v>256</v>
      </c>
      <c r="AJ139" s="3" t="str">
        <f>IFERROR(MID(VLOOKUP($B139,Seqs!$A:$B,2,0),AK139,1),"")</f>
        <v>E</v>
      </c>
      <c r="AK139" s="3">
        <v>264</v>
      </c>
      <c r="AL139" s="3" t="str">
        <f>IFERROR(MID(VLOOKUP($B139,Seqs!$A:$B,2,0),AM139,1),"")</f>
        <v>S</v>
      </c>
      <c r="AM139" s="3">
        <v>299</v>
      </c>
      <c r="AN139" s="3" t="str">
        <f>IFERROR(MID(VLOOKUP($B139,Seqs!$A:$B,2,0),AO139,1),"")</f>
        <v>N</v>
      </c>
      <c r="AO139" s="3">
        <v>304</v>
      </c>
      <c r="AP139" s="3" t="str">
        <f>IFERROR(MID(VLOOKUP($B139,Seqs!$A:$B,2,0),AQ139,1),"")</f>
        <v>L</v>
      </c>
      <c r="AQ139" s="3">
        <v>340</v>
      </c>
      <c r="AR139" s="3" t="str">
        <f>IFERROR(MID(VLOOKUP($B139,Seqs!$A:$B,2,0),AS139,1),"")</f>
        <v>T</v>
      </c>
      <c r="AS139" s="3">
        <v>346</v>
      </c>
      <c r="AT139" s="3" t="str">
        <f>IFERROR(MID(VLOOKUP($B139,Seqs!$A:$B,2,0),AU139,1),"")</f>
        <v>A</v>
      </c>
      <c r="AU139" s="3">
        <v>374</v>
      </c>
      <c r="AV139" s="3" t="str">
        <f>IFERROR(MID(VLOOKUP($B139,Seqs!$A:$B,2,0),AW139,1),"")</f>
        <v>S</v>
      </c>
      <c r="AW139" s="3">
        <v>375</v>
      </c>
      <c r="AX139" s="3" t="str">
        <f>IFERROR(MID(VLOOKUP($B139,Seqs!$A:$B,2,0),AY139,1),"")</f>
        <v>K</v>
      </c>
      <c r="AY139" s="3">
        <v>389</v>
      </c>
      <c r="BA139" s="124" t="str">
        <f>VLOOKUP(B139,Classification!A:D,2,0)</f>
        <v>A</v>
      </c>
      <c r="BC139" s="1"/>
      <c r="BD139" s="72">
        <f>S139-Q139+1</f>
        <v>4</v>
      </c>
      <c r="BE139" s="57">
        <f t="shared" si="113"/>
        <v>259</v>
      </c>
      <c r="BF139" s="63" t="b">
        <f t="shared" si="114"/>
        <v>1</v>
      </c>
      <c r="BG139" s="116" t="s">
        <v>1513</v>
      </c>
      <c r="BH139" s="102" t="s">
        <v>1513</v>
      </c>
      <c r="BI139" s="102" t="s">
        <v>1513</v>
      </c>
      <c r="BJ139" s="102" t="s">
        <v>1513</v>
      </c>
      <c r="BK139" s="102" t="s">
        <v>1513</v>
      </c>
      <c r="BL139" s="102" t="s">
        <v>1513</v>
      </c>
      <c r="BM139" s="102" t="s">
        <v>1513</v>
      </c>
      <c r="BN139" s="102" t="s">
        <v>1513</v>
      </c>
      <c r="BO139" s="102" t="s">
        <v>1513</v>
      </c>
      <c r="BP139" s="102" t="s">
        <v>1513</v>
      </c>
      <c r="BQ139" s="102" t="s">
        <v>1513</v>
      </c>
      <c r="BR139" s="102" t="s">
        <v>1513</v>
      </c>
      <c r="BS139" s="116">
        <f t="shared" si="115"/>
        <v>99</v>
      </c>
      <c r="BT139" s="117">
        <f t="shared" si="116"/>
        <v>131</v>
      </c>
      <c r="BU139" s="118">
        <f t="shared" si="117"/>
        <v>135</v>
      </c>
      <c r="BV139" s="117">
        <f t="shared" si="118"/>
        <v>167</v>
      </c>
      <c r="BW139" s="118">
        <f t="shared" si="119"/>
        <v>171</v>
      </c>
      <c r="BX139" s="117">
        <f t="shared" si="120"/>
        <v>207</v>
      </c>
      <c r="BY139" s="118">
        <f t="shared" si="121"/>
        <v>216</v>
      </c>
      <c r="BZ139" s="117">
        <f t="shared" si="122"/>
        <v>254</v>
      </c>
      <c r="CA139" s="118">
        <f t="shared" si="123"/>
        <v>264</v>
      </c>
      <c r="CB139" s="117">
        <f t="shared" si="124"/>
        <v>304</v>
      </c>
      <c r="CC139" s="118">
        <f t="shared" si="125"/>
        <v>346</v>
      </c>
      <c r="CD139" s="117">
        <f t="shared" si="126"/>
        <v>375</v>
      </c>
      <c r="CE139" s="116">
        <f t="shared" si="127"/>
        <v>130</v>
      </c>
      <c r="CF139" s="117">
        <f t="shared" si="128"/>
        <v>134</v>
      </c>
      <c r="CG139" s="118">
        <f t="shared" si="129"/>
        <v>164</v>
      </c>
      <c r="CH139" s="118">
        <f t="shared" si="130"/>
        <v>170</v>
      </c>
      <c r="CI139" s="118">
        <f t="shared" si="131"/>
        <v>206</v>
      </c>
      <c r="CJ139" s="118">
        <f t="shared" si="132"/>
        <v>214</v>
      </c>
      <c r="CK139" s="118">
        <f t="shared" si="133"/>
        <v>240</v>
      </c>
      <c r="CL139" s="118">
        <f t="shared" si="134"/>
        <v>256</v>
      </c>
      <c r="CM139" s="118">
        <f t="shared" si="135"/>
        <v>299</v>
      </c>
      <c r="CN139" s="118">
        <f t="shared" si="136"/>
        <v>340</v>
      </c>
      <c r="CO139" s="118">
        <f t="shared" si="137"/>
        <v>374</v>
      </c>
      <c r="CP139" s="118">
        <f t="shared" si="138"/>
        <v>389</v>
      </c>
      <c r="CQ139" s="57">
        <f t="shared" si="139"/>
        <v>1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</row>
    <row r="140" spans="1:1026" x14ac:dyDescent="0.2">
      <c r="A140" s="3" t="str">
        <f t="shared" si="112"/>
        <v>par1_human_3VW7</v>
      </c>
      <c r="B140" s="3" t="s">
        <v>548</v>
      </c>
      <c r="C140" s="3" t="s">
        <v>284</v>
      </c>
      <c r="D140" s="3" t="str">
        <f>IFERROR(MID(VLOOKUP($B140,Seqs!$A:$B,2,0),E140,1),"")</f>
        <v>S</v>
      </c>
      <c r="E140" s="3">
        <v>99</v>
      </c>
      <c r="F140" s="3" t="str">
        <f>IFERROR(MID(VLOOKUP($B140,Seqs!$A:$B,2,0),G140,1),"")</f>
        <v>K</v>
      </c>
      <c r="G140" s="3">
        <v>130</v>
      </c>
      <c r="H140" s="3" t="str">
        <f>IFERROR(MID(VLOOKUP($B140,Seqs!$A:$B,2,0),I140,1),"")</f>
        <v/>
      </c>
      <c r="I140" s="57" t="s">
        <v>129</v>
      </c>
      <c r="J140" s="3" t="str">
        <f>IFERROR(MID(VLOOKUP($B140,Seqs!$A:$B,2,0),K140,1),"")</f>
        <v/>
      </c>
      <c r="K140" s="57" t="s">
        <v>129</v>
      </c>
      <c r="L140" s="3" t="str">
        <f>IFERROR(MID(VLOOKUP($B140,Seqs!$A:$B,2,0),M140,1),"")</f>
        <v>K</v>
      </c>
      <c r="M140" s="3">
        <v>135</v>
      </c>
      <c r="N140" s="3" t="str">
        <f>IFERROR(MID(VLOOKUP($B140,Seqs!$A:$B,2,0),O140,1),"")</f>
        <v>S</v>
      </c>
      <c r="O140" s="3">
        <v>164</v>
      </c>
      <c r="P140" s="3" t="str">
        <f>IFERROR(MID(VLOOKUP($B140,Seqs!$A:$B,2,0),Q140,1),"")</f>
        <v>D</v>
      </c>
      <c r="Q140" s="3">
        <v>167</v>
      </c>
      <c r="R140" s="3" t="str">
        <f>IFERROR(MID(VLOOKUP($B140,Seqs!$A:$B,2,0),S140,1),"")</f>
        <v>F</v>
      </c>
      <c r="S140" s="3">
        <v>170</v>
      </c>
      <c r="T140" s="3" t="str">
        <f>IFERROR(MID(VLOOKUP($B140,Seqs!$A:$B,2,0),U140,1),"")</f>
        <v>G</v>
      </c>
      <c r="U140" s="3">
        <v>171</v>
      </c>
      <c r="V140" s="3" t="str">
        <f>IFERROR(MID(VLOOKUP($B140,Seqs!$A:$B,2,0),W140,1),"")</f>
        <v>Y</v>
      </c>
      <c r="W140" s="3">
        <v>206</v>
      </c>
      <c r="X140" s="3" t="str">
        <f>IFERROR(MID(VLOOKUP($B140,Seqs!$A:$B,2,0),Y140,1),"")</f>
        <v/>
      </c>
      <c r="Y140" s="3" t="s">
        <v>129</v>
      </c>
      <c r="Z140" s="3" t="str">
        <f>IFERROR(MID(VLOOKUP($B140,Seqs!$A:$B,2,0),AA140,1),"")</f>
        <v/>
      </c>
      <c r="AA140" s="3" t="s">
        <v>129</v>
      </c>
      <c r="AB140" s="3" t="str">
        <f>IFERROR(MID(VLOOKUP($B140,Seqs!$A:$B,2,0),AC140,1),"")</f>
        <v>L</v>
      </c>
      <c r="AC140" s="3">
        <v>216</v>
      </c>
      <c r="AD140" s="3" t="str">
        <f>IFERROR(MID(VLOOKUP($B140,Seqs!$A:$B,2,0),AE140,1),"")</f>
        <v>K</v>
      </c>
      <c r="AE140" s="3">
        <v>240</v>
      </c>
      <c r="AF140" s="3" t="str">
        <f>IFERROR(MID(VLOOKUP($B140,Seqs!$A:$B,2,0),AG140,1),"")</f>
        <v>C</v>
      </c>
      <c r="AG140" s="3">
        <v>254</v>
      </c>
      <c r="AH140" s="3" t="str">
        <f>IFERROR(MID(VLOOKUP($B140,Seqs!$A:$B,2,0),AI140,1),"")</f>
        <v>D</v>
      </c>
      <c r="AI140" s="3">
        <v>256</v>
      </c>
      <c r="AJ140" s="3" t="str">
        <f>IFERROR(MID(VLOOKUP($B140,Seqs!$A:$B,2,0),AK140,1),"")</f>
        <v>E</v>
      </c>
      <c r="AK140" s="3">
        <v>264</v>
      </c>
      <c r="AL140" s="3" t="str">
        <f>IFERROR(MID(VLOOKUP($B140,Seqs!$A:$B,2,0),AM140,1),"")</f>
        <v>S</v>
      </c>
      <c r="AM140" s="3">
        <v>300</v>
      </c>
      <c r="AN140" s="3" t="str">
        <f>IFERROR(MID(VLOOKUP($B140,Seqs!$A:$B,2,0),AO140,1),"")</f>
        <v>N</v>
      </c>
      <c r="AO140" s="3">
        <v>304</v>
      </c>
      <c r="AP140" s="3" t="str">
        <f>IFERROR(MID(VLOOKUP($B140,Seqs!$A:$B,2,0),AQ140,1),"")</f>
        <v>L</v>
      </c>
      <c r="AQ140" s="3">
        <v>340</v>
      </c>
      <c r="AR140" s="3" t="str">
        <f>IFERROR(MID(VLOOKUP($B140,Seqs!$A:$B,2,0),AS140,1),"")</f>
        <v>T</v>
      </c>
      <c r="AS140" s="3">
        <v>346</v>
      </c>
      <c r="AT140" s="3" t="str">
        <f>IFERROR(MID(VLOOKUP($B140,Seqs!$A:$B,2,0),AU140,1),"")</f>
        <v>Y</v>
      </c>
      <c r="AU140" s="3">
        <v>372</v>
      </c>
      <c r="AV140" s="3" t="str">
        <f>IFERROR(MID(VLOOKUP($B140,Seqs!$A:$B,2,0),AW140,1),"")</f>
        <v/>
      </c>
      <c r="AW140" s="3" t="s">
        <v>129</v>
      </c>
      <c r="AX140" s="3" t="str">
        <f>IFERROR(MID(VLOOKUP($B140,Seqs!$A:$B,2,0),AY140,1),"")</f>
        <v/>
      </c>
      <c r="AY140" s="3" t="s">
        <v>129</v>
      </c>
      <c r="BA140" s="124" t="str">
        <f>VLOOKUP(B140,Classification!A:D,2,0)</f>
        <v>A</v>
      </c>
      <c r="BC140" s="1"/>
      <c r="BD140" s="1"/>
      <c r="BE140" s="57">
        <f t="shared" si="113"/>
        <v>234</v>
      </c>
      <c r="BF140" s="63" t="b">
        <f t="shared" si="114"/>
        <v>1</v>
      </c>
      <c r="BG140" s="116" t="s">
        <v>1513</v>
      </c>
      <c r="BH140" s="102" t="s">
        <v>1513</v>
      </c>
      <c r="BI140" s="102" t="s">
        <v>1513</v>
      </c>
      <c r="BJ140" s="102" t="s">
        <v>1513</v>
      </c>
      <c r="BK140" s="102" t="s">
        <v>1513</v>
      </c>
      <c r="BL140" s="102" t="s">
        <v>1513</v>
      </c>
      <c r="BM140" s="102" t="s">
        <v>1513</v>
      </c>
      <c r="BN140" s="102" t="s">
        <v>1513</v>
      </c>
      <c r="BO140" s="102" t="s">
        <v>1513</v>
      </c>
      <c r="BP140" s="102" t="s">
        <v>1513</v>
      </c>
      <c r="BQ140" s="102" t="s">
        <v>1513</v>
      </c>
      <c r="BR140" s="102" t="s">
        <v>1513</v>
      </c>
      <c r="BS140" s="116">
        <f t="shared" si="115"/>
        <v>99</v>
      </c>
      <c r="BT140" s="117" t="str">
        <f t="shared" si="116"/>
        <v>-</v>
      </c>
      <c r="BU140" s="118">
        <f t="shared" si="117"/>
        <v>135</v>
      </c>
      <c r="BV140" s="117">
        <f t="shared" si="118"/>
        <v>167</v>
      </c>
      <c r="BW140" s="118">
        <f t="shared" si="119"/>
        <v>171</v>
      </c>
      <c r="BX140" s="117" t="str">
        <f t="shared" si="120"/>
        <v>-</v>
      </c>
      <c r="BY140" s="118">
        <f t="shared" si="121"/>
        <v>216</v>
      </c>
      <c r="BZ140" s="117">
        <f t="shared" si="122"/>
        <v>254</v>
      </c>
      <c r="CA140" s="118">
        <f t="shared" si="123"/>
        <v>264</v>
      </c>
      <c r="CB140" s="117">
        <f t="shared" si="124"/>
        <v>304</v>
      </c>
      <c r="CC140" s="118">
        <f t="shared" si="125"/>
        <v>346</v>
      </c>
      <c r="CD140" s="117" t="str">
        <f t="shared" si="126"/>
        <v>-</v>
      </c>
      <c r="CE140" s="116">
        <f t="shared" si="127"/>
        <v>130</v>
      </c>
      <c r="CF140" s="117" t="str">
        <f t="shared" si="128"/>
        <v>-</v>
      </c>
      <c r="CG140" s="118">
        <f t="shared" si="129"/>
        <v>164</v>
      </c>
      <c r="CH140" s="118">
        <f t="shared" si="130"/>
        <v>170</v>
      </c>
      <c r="CI140" s="118">
        <f t="shared" si="131"/>
        <v>206</v>
      </c>
      <c r="CJ140" s="118" t="str">
        <f t="shared" si="132"/>
        <v>-</v>
      </c>
      <c r="CK140" s="118">
        <f t="shared" si="133"/>
        <v>240</v>
      </c>
      <c r="CL140" s="118">
        <f t="shared" si="134"/>
        <v>256</v>
      </c>
      <c r="CM140" s="118">
        <f t="shared" si="135"/>
        <v>300</v>
      </c>
      <c r="CN140" s="118">
        <f t="shared" si="136"/>
        <v>340</v>
      </c>
      <c r="CO140" s="118">
        <f t="shared" si="137"/>
        <v>372</v>
      </c>
      <c r="CP140" s="118" t="str">
        <f t="shared" si="138"/>
        <v>-</v>
      </c>
      <c r="CQ140" s="57" t="e">
        <f t="shared" si="139"/>
        <v>#VALUE!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</row>
    <row r="141" spans="1:1026" x14ac:dyDescent="0.2">
      <c r="A141" s="3" t="str">
        <f t="shared" si="112"/>
        <v>s1pr1_human__wt</v>
      </c>
      <c r="B141" s="3" t="s">
        <v>297</v>
      </c>
      <c r="C141" s="3" t="s">
        <v>293</v>
      </c>
      <c r="D141" s="3" t="str">
        <f>IFERROR(MID(VLOOKUP($B141,Seqs!$A:$B,2,0),E141,1),"")</f>
        <v>E</v>
      </c>
      <c r="E141" s="3">
        <v>42</v>
      </c>
      <c r="F141" s="3" t="str">
        <f>IFERROR(MID(VLOOKUP($B141,Seqs!$A:$B,2,0),G141,1),"")</f>
        <v>T</v>
      </c>
      <c r="G141" s="3">
        <v>73</v>
      </c>
      <c r="H141" s="3" t="str">
        <f>IFERROR(MID(VLOOKUP($B141,Seqs!$A:$B,2,0),I141,1),"")</f>
        <v>K</v>
      </c>
      <c r="I141" s="57">
        <v>74</v>
      </c>
      <c r="J141" s="3" t="str">
        <f>IFERROR(MID(VLOOKUP($B141,Seqs!$A:$B,2,0),K141,1),"")</f>
        <v>H</v>
      </c>
      <c r="K141" s="57">
        <v>77</v>
      </c>
      <c r="L141" s="3" t="str">
        <f>IFERROR(MID(VLOOKUP($B141,Seqs!$A:$B,2,0),M141,1),"")</f>
        <v>R</v>
      </c>
      <c r="M141" s="3">
        <v>78</v>
      </c>
      <c r="N141" s="3" t="str">
        <f>IFERROR(MID(VLOOKUP($B141,Seqs!$A:$B,2,0),O141,1),"")</f>
        <v>L</v>
      </c>
      <c r="O141" s="3">
        <v>104</v>
      </c>
      <c r="P141" s="3" t="str">
        <f>IFERROR(MID(VLOOKUP($B141,Seqs!$A:$B,2,0),Q141,1),"")</f>
        <v>G</v>
      </c>
      <c r="Q141" s="3">
        <v>106</v>
      </c>
      <c r="R141" s="3" t="str">
        <f>IFERROR(MID(VLOOKUP($B141,Seqs!$A:$B,2,0),S141,1),"")</f>
        <v>L</v>
      </c>
      <c r="S141" s="3">
        <v>112</v>
      </c>
      <c r="T141" s="3" t="str">
        <f>IFERROR(MID(VLOOKUP($B141,Seqs!$A:$B,2,0),U141,1),"")</f>
        <v>T</v>
      </c>
      <c r="U141" s="3">
        <v>113</v>
      </c>
      <c r="V141" s="3" t="str">
        <f>IFERROR(MID(VLOOKUP($B141,Seqs!$A:$B,2,0),W141,1),"")</f>
        <v>K</v>
      </c>
      <c r="W141" s="3">
        <v>148</v>
      </c>
      <c r="X141" s="3" t="str">
        <f>IFERROR(MID(VLOOKUP($B141,Seqs!$A:$B,2,0),Y141,1),"")</f>
        <v>M</v>
      </c>
      <c r="Y141" s="3">
        <v>149</v>
      </c>
      <c r="Z141" s="3" t="str">
        <f>IFERROR(MID(VLOOKUP($B141,Seqs!$A:$B,2,0),AA141,1),"")</f>
        <v>N</v>
      </c>
      <c r="AA141" s="3">
        <v>156</v>
      </c>
      <c r="AB141" s="3" t="str">
        <f>IFERROR(MID(VLOOKUP($B141,Seqs!$A:$B,2,0),AC141,1),"")</f>
        <v>N</v>
      </c>
      <c r="AC141" s="3">
        <v>157</v>
      </c>
      <c r="AD141" s="3" t="str">
        <f>IFERROR(MID(VLOOKUP($B141,Seqs!$A:$B,2,0),AE141,1),"")</f>
        <v>G</v>
      </c>
      <c r="AE141" s="3">
        <v>181</v>
      </c>
      <c r="AF141" s="3" t="str">
        <f>IFERROR(MID(VLOOKUP($B141,Seqs!$A:$B,2,0),AG141,1),"")</f>
        <v/>
      </c>
      <c r="AG141" s="3" t="s">
        <v>129</v>
      </c>
      <c r="AH141" s="3" t="str">
        <f>IFERROR(MID(VLOOKUP($B141,Seqs!$A:$B,2,0),AI141,1),"")</f>
        <v/>
      </c>
      <c r="AI141" s="3" t="s">
        <v>129</v>
      </c>
      <c r="AJ141" s="3" t="str">
        <f>IFERROR(MID(VLOOKUP($B141,Seqs!$A:$B,2,0),AK141,1),"")</f>
        <v>H</v>
      </c>
      <c r="AK141" s="3">
        <v>199</v>
      </c>
      <c r="AL141" s="3" t="str">
        <f>IFERROR(MID(VLOOKUP($B141,Seqs!$A:$B,2,0),AM141,1),"")</f>
        <v>T</v>
      </c>
      <c r="AM141" s="3">
        <v>236</v>
      </c>
      <c r="AN141" s="3" t="str">
        <f>IFERROR(MID(VLOOKUP($B141,Seqs!$A:$B,2,0),AO141,1),"")</f>
        <v>S</v>
      </c>
      <c r="AO141" s="3">
        <v>245</v>
      </c>
      <c r="AP141" s="3" t="str">
        <f>IFERROR(MID(VLOOKUP($B141,Seqs!$A:$B,2,0),AQ141,1),"")</f>
        <v>C</v>
      </c>
      <c r="AQ141" s="3">
        <v>282</v>
      </c>
      <c r="AR141" s="3" t="str">
        <f>IFERROR(MID(VLOOKUP($B141,Seqs!$A:$B,2,0),AS141,1),"")</f>
        <v>D</v>
      </c>
      <c r="AS141" s="3">
        <v>288</v>
      </c>
      <c r="AT141" s="3" t="str">
        <f>IFERROR(MID(VLOOKUP($B141,Seqs!$A:$B,2,0),AU141,1),"")</f>
        <v>T</v>
      </c>
      <c r="AU141" s="3">
        <v>314</v>
      </c>
      <c r="AV141" s="3" t="str">
        <f>IFERROR(MID(VLOOKUP($B141,Seqs!$A:$B,2,0),AW141,1),"")</f>
        <v>N</v>
      </c>
      <c r="AW141" s="3">
        <v>315</v>
      </c>
      <c r="AX141" s="3" t="str">
        <f>IFERROR(MID(VLOOKUP($B141,Seqs!$A:$B,2,0),AY141,1),"")</f>
        <v>S</v>
      </c>
      <c r="AY141" s="3">
        <v>327</v>
      </c>
      <c r="BA141" s="124" t="str">
        <f>VLOOKUP(B141,Classification!A:D,2,0)</f>
        <v>A</v>
      </c>
      <c r="BC141" s="1"/>
      <c r="BD141" s="72">
        <f>S141-Q141+1</f>
        <v>7</v>
      </c>
      <c r="BE141" s="57">
        <f t="shared" si="113"/>
        <v>256</v>
      </c>
      <c r="BF141" s="63" t="b">
        <f t="shared" si="114"/>
        <v>1</v>
      </c>
      <c r="BG141" s="116" t="s">
        <v>1513</v>
      </c>
      <c r="BH141" s="102" t="s">
        <v>1513</v>
      </c>
      <c r="BI141" s="102" t="s">
        <v>1513</v>
      </c>
      <c r="BJ141" s="102" t="s">
        <v>1513</v>
      </c>
      <c r="BK141" s="102" t="s">
        <v>1513</v>
      </c>
      <c r="BL141" s="102" t="s">
        <v>1513</v>
      </c>
      <c r="BM141" s="102" t="s">
        <v>1513</v>
      </c>
      <c r="BN141" s="102" t="s">
        <v>1513</v>
      </c>
      <c r="BO141" s="102" t="s">
        <v>1513</v>
      </c>
      <c r="BP141" s="102" t="s">
        <v>1513</v>
      </c>
      <c r="BQ141" s="102" t="s">
        <v>1513</v>
      </c>
      <c r="BR141" s="102" t="s">
        <v>1513</v>
      </c>
      <c r="BS141" s="116">
        <f t="shared" si="115"/>
        <v>42</v>
      </c>
      <c r="BT141" s="117">
        <f t="shared" si="116"/>
        <v>74</v>
      </c>
      <c r="BU141" s="118">
        <f t="shared" si="117"/>
        <v>78</v>
      </c>
      <c r="BV141" s="117">
        <f t="shared" si="118"/>
        <v>106</v>
      </c>
      <c r="BW141" s="118">
        <f t="shared" si="119"/>
        <v>113</v>
      </c>
      <c r="BX141" s="117">
        <f t="shared" si="120"/>
        <v>149</v>
      </c>
      <c r="BY141" s="118">
        <f t="shared" si="121"/>
        <v>157</v>
      </c>
      <c r="BZ141" s="117" t="str">
        <f t="shared" si="122"/>
        <v>-</v>
      </c>
      <c r="CA141" s="118">
        <f t="shared" si="123"/>
        <v>199</v>
      </c>
      <c r="CB141" s="117">
        <f t="shared" si="124"/>
        <v>245</v>
      </c>
      <c r="CC141" s="118">
        <f t="shared" si="125"/>
        <v>288</v>
      </c>
      <c r="CD141" s="117">
        <f t="shared" si="126"/>
        <v>315</v>
      </c>
      <c r="CE141" s="116">
        <f t="shared" si="127"/>
        <v>73</v>
      </c>
      <c r="CF141" s="117">
        <f t="shared" si="128"/>
        <v>77</v>
      </c>
      <c r="CG141" s="118">
        <f t="shared" si="129"/>
        <v>104</v>
      </c>
      <c r="CH141" s="118">
        <f t="shared" si="130"/>
        <v>112</v>
      </c>
      <c r="CI141" s="118">
        <f t="shared" si="131"/>
        <v>148</v>
      </c>
      <c r="CJ141" s="118">
        <f t="shared" si="132"/>
        <v>156</v>
      </c>
      <c r="CK141" s="118">
        <f t="shared" si="133"/>
        <v>181</v>
      </c>
      <c r="CL141" s="118" t="str">
        <f t="shared" si="134"/>
        <v>-</v>
      </c>
      <c r="CM141" s="118">
        <f t="shared" si="135"/>
        <v>236</v>
      </c>
      <c r="CN141" s="118">
        <f t="shared" si="136"/>
        <v>282</v>
      </c>
      <c r="CO141" s="118">
        <f t="shared" si="137"/>
        <v>314</v>
      </c>
      <c r="CP141" s="118">
        <f t="shared" si="138"/>
        <v>327</v>
      </c>
      <c r="CQ141" s="57">
        <f t="shared" si="139"/>
        <v>1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</row>
    <row r="142" spans="1:1026" x14ac:dyDescent="0.2">
      <c r="A142" s="3" t="str">
        <f t="shared" si="112"/>
        <v>s1pr1_human_3V2Y</v>
      </c>
      <c r="B142" s="3" t="s">
        <v>297</v>
      </c>
      <c r="C142" s="3" t="s">
        <v>285</v>
      </c>
      <c r="D142" s="3" t="str">
        <f>IFERROR(MID(VLOOKUP($B142,Seqs!$A:$B,2,0),E142,1),"")</f>
        <v>E</v>
      </c>
      <c r="E142" s="3">
        <v>42</v>
      </c>
      <c r="F142" s="3" t="str">
        <f>IFERROR(MID(VLOOKUP($B142,Seqs!$A:$B,2,0),G142,1),"")</f>
        <v>T</v>
      </c>
      <c r="G142" s="3">
        <v>73</v>
      </c>
      <c r="H142" s="3" t="str">
        <f>IFERROR(MID(VLOOKUP($B142,Seqs!$A:$B,2,0),I142,1),"")</f>
        <v>K</v>
      </c>
      <c r="I142" s="57">
        <v>74</v>
      </c>
      <c r="J142" s="3" t="str">
        <f>IFERROR(MID(VLOOKUP($B142,Seqs!$A:$B,2,0),K142,1),"")</f>
        <v>H</v>
      </c>
      <c r="K142" s="57">
        <v>77</v>
      </c>
      <c r="L142" s="3" t="str">
        <f>IFERROR(MID(VLOOKUP($B142,Seqs!$A:$B,2,0),M142,1),"")</f>
        <v>R</v>
      </c>
      <c r="M142" s="3">
        <v>78</v>
      </c>
      <c r="N142" s="3" t="str">
        <f>IFERROR(MID(VLOOKUP($B142,Seqs!$A:$B,2,0),O142,1),"")</f>
        <v>L</v>
      </c>
      <c r="O142" s="3">
        <v>104</v>
      </c>
      <c r="P142" s="3" t="str">
        <f>IFERROR(MID(VLOOKUP($B142,Seqs!$A:$B,2,0),Q142,1),"")</f>
        <v>G</v>
      </c>
      <c r="Q142" s="3">
        <v>106</v>
      </c>
      <c r="R142" s="3" t="str">
        <f>IFERROR(MID(VLOOKUP($B142,Seqs!$A:$B,2,0),S142,1),"")</f>
        <v>L</v>
      </c>
      <c r="S142" s="3">
        <v>112</v>
      </c>
      <c r="T142" s="3" t="str">
        <f>IFERROR(MID(VLOOKUP($B142,Seqs!$A:$B,2,0),U142,1),"")</f>
        <v>T</v>
      </c>
      <c r="U142" s="3">
        <v>113</v>
      </c>
      <c r="V142" s="3" t="str">
        <f>IFERROR(MID(VLOOKUP($B142,Seqs!$A:$B,2,0),W142,1),"")</f>
        <v>L</v>
      </c>
      <c r="W142" s="3">
        <v>147</v>
      </c>
      <c r="X142" s="3" t="str">
        <f>IFERROR(MID(VLOOKUP($B142,Seqs!$A:$B,2,0),Y142,1),"")</f>
        <v/>
      </c>
      <c r="Y142" s="3" t="s">
        <v>129</v>
      </c>
      <c r="Z142" s="3" t="str">
        <f>IFERROR(MID(VLOOKUP($B142,Seqs!$A:$B,2,0),AA142,1),"")</f>
        <v/>
      </c>
      <c r="AA142" s="3" t="s">
        <v>129</v>
      </c>
      <c r="AB142" s="3" t="str">
        <f>IFERROR(MID(VLOOKUP($B142,Seqs!$A:$B,2,0),AC142,1),"")</f>
        <v>N</v>
      </c>
      <c r="AC142" s="3">
        <v>157</v>
      </c>
      <c r="AD142" s="3" t="str">
        <f>IFERROR(MID(VLOOKUP($B142,Seqs!$A:$B,2,0),AE142,1),"")</f>
        <v>G</v>
      </c>
      <c r="AE142" s="3">
        <v>181</v>
      </c>
      <c r="AF142" s="3" t="str">
        <f>IFERROR(MID(VLOOKUP($B142,Seqs!$A:$B,2,0),AG142,1),"")</f>
        <v/>
      </c>
      <c r="AG142" s="3" t="s">
        <v>129</v>
      </c>
      <c r="AH142" s="3" t="str">
        <f>IFERROR(MID(VLOOKUP($B142,Seqs!$A:$B,2,0),AI142,1),"")</f>
        <v/>
      </c>
      <c r="AI142" s="3" t="s">
        <v>129</v>
      </c>
      <c r="AJ142" s="3" t="str">
        <f>IFERROR(MID(VLOOKUP($B142,Seqs!$A:$B,2,0),AK142,1),"")</f>
        <v>H</v>
      </c>
      <c r="AK142" s="3">
        <v>199</v>
      </c>
      <c r="AL142" s="3" t="str">
        <f>IFERROR(MID(VLOOKUP($B142,Seqs!$A:$B,2,0),AM142,1),"")</f>
        <v>R</v>
      </c>
      <c r="AM142" s="3">
        <v>231</v>
      </c>
      <c r="AN142" s="3" t="str">
        <f>IFERROR(MID(VLOOKUP($B142,Seqs!$A:$B,2,0),AO142,1),"")</f>
        <v>S</v>
      </c>
      <c r="AO142" s="3">
        <v>251</v>
      </c>
      <c r="AP142" s="3" t="str">
        <f>IFERROR(MID(VLOOKUP($B142,Seqs!$A:$B,2,0),AQ142,1),"")</f>
        <v>C</v>
      </c>
      <c r="AQ142" s="3">
        <v>282</v>
      </c>
      <c r="AR142" s="3" t="str">
        <f>IFERROR(MID(VLOOKUP($B142,Seqs!$A:$B,2,0),AS142,1),"")</f>
        <v>D</v>
      </c>
      <c r="AS142" s="3">
        <v>288</v>
      </c>
      <c r="AT142" s="3" t="str">
        <f>IFERROR(MID(VLOOKUP($B142,Seqs!$A:$B,2,0),AU142,1),"")</f>
        <v>T</v>
      </c>
      <c r="AU142" s="3">
        <v>314</v>
      </c>
      <c r="AV142" s="3" t="str">
        <f>IFERROR(MID(VLOOKUP($B142,Seqs!$A:$B,2,0),AW142,1),"")</f>
        <v>N</v>
      </c>
      <c r="AW142" s="3">
        <v>315</v>
      </c>
      <c r="AX142" s="3" t="str">
        <f>IFERROR(MID(VLOOKUP($B142,Seqs!$A:$B,2,0),AY142,1),"")</f>
        <v>I</v>
      </c>
      <c r="AY142" s="3">
        <v>323</v>
      </c>
      <c r="BA142" s="124" t="str">
        <f>VLOOKUP(B142,Classification!A:D,2,0)</f>
        <v>A</v>
      </c>
      <c r="BC142" s="1"/>
      <c r="BD142" s="1"/>
      <c r="BE142" s="57">
        <f t="shared" si="113"/>
        <v>233</v>
      </c>
      <c r="BF142" s="63" t="b">
        <f t="shared" si="114"/>
        <v>1</v>
      </c>
      <c r="BG142" s="116" t="s">
        <v>1513</v>
      </c>
      <c r="BH142" s="102" t="s">
        <v>1513</v>
      </c>
      <c r="BI142" s="102" t="s">
        <v>1513</v>
      </c>
      <c r="BJ142" s="102" t="s">
        <v>1513</v>
      </c>
      <c r="BK142" s="102" t="s">
        <v>1513</v>
      </c>
      <c r="BL142" s="102" t="s">
        <v>1513</v>
      </c>
      <c r="BM142" s="102" t="s">
        <v>1513</v>
      </c>
      <c r="BN142" s="102" t="s">
        <v>1513</v>
      </c>
      <c r="BO142" s="102" t="s">
        <v>1513</v>
      </c>
      <c r="BP142" s="102" t="s">
        <v>1513</v>
      </c>
      <c r="BQ142" s="102" t="s">
        <v>1513</v>
      </c>
      <c r="BR142" s="102" t="s">
        <v>1513</v>
      </c>
      <c r="BS142" s="116">
        <f t="shared" si="115"/>
        <v>42</v>
      </c>
      <c r="BT142" s="117">
        <f t="shared" si="116"/>
        <v>74</v>
      </c>
      <c r="BU142" s="118">
        <f t="shared" si="117"/>
        <v>78</v>
      </c>
      <c r="BV142" s="117">
        <f t="shared" si="118"/>
        <v>106</v>
      </c>
      <c r="BW142" s="118">
        <f t="shared" si="119"/>
        <v>113</v>
      </c>
      <c r="BX142" s="117" t="str">
        <f t="shared" si="120"/>
        <v>-</v>
      </c>
      <c r="BY142" s="118">
        <f t="shared" si="121"/>
        <v>157</v>
      </c>
      <c r="BZ142" s="117" t="str">
        <f t="shared" si="122"/>
        <v>-</v>
      </c>
      <c r="CA142" s="118">
        <f t="shared" si="123"/>
        <v>199</v>
      </c>
      <c r="CB142" s="117">
        <f t="shared" si="124"/>
        <v>251</v>
      </c>
      <c r="CC142" s="118">
        <f t="shared" si="125"/>
        <v>288</v>
      </c>
      <c r="CD142" s="117">
        <f t="shared" si="126"/>
        <v>315</v>
      </c>
      <c r="CE142" s="116">
        <f t="shared" si="127"/>
        <v>73</v>
      </c>
      <c r="CF142" s="117">
        <f t="shared" si="128"/>
        <v>77</v>
      </c>
      <c r="CG142" s="118">
        <f t="shared" si="129"/>
        <v>104</v>
      </c>
      <c r="CH142" s="118">
        <f t="shared" si="130"/>
        <v>112</v>
      </c>
      <c r="CI142" s="118">
        <f t="shared" si="131"/>
        <v>147</v>
      </c>
      <c r="CJ142" s="118" t="str">
        <f t="shared" si="132"/>
        <v>-</v>
      </c>
      <c r="CK142" s="118">
        <f t="shared" si="133"/>
        <v>181</v>
      </c>
      <c r="CL142" s="118" t="str">
        <f t="shared" si="134"/>
        <v>-</v>
      </c>
      <c r="CM142" s="118">
        <f t="shared" si="135"/>
        <v>231</v>
      </c>
      <c r="CN142" s="118">
        <f t="shared" si="136"/>
        <v>282</v>
      </c>
      <c r="CO142" s="118">
        <f t="shared" si="137"/>
        <v>314</v>
      </c>
      <c r="CP142" s="118">
        <f t="shared" si="138"/>
        <v>323</v>
      </c>
      <c r="CQ142" s="57">
        <f t="shared" si="139"/>
        <v>1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</row>
    <row r="143" spans="1:1026" x14ac:dyDescent="0.2">
      <c r="A143" s="3" t="str">
        <f t="shared" si="112"/>
        <v>us28_hcmva__wt</v>
      </c>
      <c r="B143" s="3" t="s">
        <v>1119</v>
      </c>
      <c r="C143" s="3" t="s">
        <v>293</v>
      </c>
      <c r="D143" s="3" t="str">
        <f>IFERROR(MID(VLOOKUP($B143,Seqs!$A:$B,2,0),E143,1),"")</f>
        <v>T</v>
      </c>
      <c r="E143" s="3">
        <v>26</v>
      </c>
      <c r="F143" s="3" t="str">
        <f>IFERROR(MID(VLOOKUP($B143,Seqs!$A:$B,2,0),G143,1),"")</f>
        <v>R</v>
      </c>
      <c r="G143" s="3">
        <v>61</v>
      </c>
      <c r="H143" s="3" t="str">
        <f>IFERROR(MID(VLOOKUP($B143,Seqs!$A:$B,2,0),I143,1),"")</f>
        <v>R</v>
      </c>
      <c r="I143" s="57">
        <v>62</v>
      </c>
      <c r="J143" s="3" t="str">
        <f>IFERROR(MID(VLOOKUP($B143,Seqs!$A:$B,2,0),K143,1),"")</f>
        <v>Q</v>
      </c>
      <c r="K143" s="57">
        <v>65</v>
      </c>
      <c r="L143" s="3" t="str">
        <f>IFERROR(MID(VLOOKUP($B143,Seqs!$A:$B,2,0),M143,1),"")</f>
        <v>C</v>
      </c>
      <c r="M143" s="3">
        <v>66</v>
      </c>
      <c r="N143" s="3" t="str">
        <f>IFERROR(MID(VLOOKUP($B143,Seqs!$A:$B,2,0),O143,1),"")</f>
        <v>D</v>
      </c>
      <c r="O143" s="3">
        <v>95</v>
      </c>
      <c r="P143" s="3" t="str">
        <f>IFERROR(MID(VLOOKUP($B143,Seqs!$A:$B,2,0),Q143,1),"")</f>
        <v/>
      </c>
      <c r="Q143" s="3" t="s">
        <v>129</v>
      </c>
      <c r="R143" s="3" t="str">
        <f>IFERROR(MID(VLOOKUP($B143,Seqs!$A:$B,2,0),S143,1),"")</f>
        <v/>
      </c>
      <c r="S143" s="3" t="s">
        <v>129</v>
      </c>
      <c r="T143" s="3" t="str">
        <f>IFERROR(MID(VLOOKUP($B143,Seqs!$A:$B,2,0),U143,1),"")</f>
        <v>P</v>
      </c>
      <c r="U143" s="3">
        <v>103</v>
      </c>
      <c r="V143" s="3" t="str">
        <f>IFERROR(MID(VLOOKUP($B143,Seqs!$A:$B,2,0),W143,1),"")</f>
        <v>Y</v>
      </c>
      <c r="W143" s="3">
        <v>135</v>
      </c>
      <c r="X143" s="3" t="str">
        <f>IFERROR(MID(VLOOKUP($B143,Seqs!$A:$B,2,0),Y143,1),"")</f>
        <v/>
      </c>
      <c r="Y143" s="3" t="s">
        <v>129</v>
      </c>
      <c r="Z143" s="3" t="str">
        <f>IFERROR(MID(VLOOKUP($B143,Seqs!$A:$B,2,0),AA143,1),"")</f>
        <v/>
      </c>
      <c r="AA143" s="3" t="s">
        <v>129</v>
      </c>
      <c r="AB143" s="3" t="str">
        <f>IFERROR(MID(VLOOKUP($B143,Seqs!$A:$B,2,0),AC143,1),"")</f>
        <v>V</v>
      </c>
      <c r="AC143" s="3">
        <v>141</v>
      </c>
      <c r="AD143" s="3" t="str">
        <f>IFERROR(MID(VLOOKUP($B143,Seqs!$A:$B,2,0),AE143,1),"")</f>
        <v>V</v>
      </c>
      <c r="AE143" s="3">
        <v>165</v>
      </c>
      <c r="AF143" s="3" t="str">
        <f>IFERROR(MID(VLOOKUP($B143,Seqs!$A:$B,2,0),AG143,1),"")</f>
        <v>C</v>
      </c>
      <c r="AG143" s="3">
        <v>173</v>
      </c>
      <c r="AH143" s="3" t="str">
        <f>IFERROR(MID(VLOOKUP($B143,Seqs!$A:$B,2,0),AI143,1),"")</f>
        <v>T</v>
      </c>
      <c r="AI143" s="3">
        <v>175</v>
      </c>
      <c r="AJ143" s="3" t="str">
        <f>IFERROR(MID(VLOOKUP($B143,Seqs!$A:$B,2,0),AK143,1),"")</f>
        <v>V</v>
      </c>
      <c r="AK143" s="3">
        <v>182</v>
      </c>
      <c r="AL143" s="3" t="str">
        <f>IFERROR(MID(VLOOKUP($B143,Seqs!$A:$B,2,0),AM143,1),"")</f>
        <v>S</v>
      </c>
      <c r="AM143" s="3">
        <v>218</v>
      </c>
      <c r="AN143" s="3" t="str">
        <f>IFERROR(MID(VLOOKUP($B143,Seqs!$A:$B,2,0),AO143,1),"")</f>
        <v>H</v>
      </c>
      <c r="AO143" s="3">
        <v>222</v>
      </c>
      <c r="AP143" s="3" t="str">
        <f>IFERROR(MID(VLOOKUP($B143,Seqs!$A:$B,2,0),AQ143,1),"")</f>
        <v>K</v>
      </c>
      <c r="AQ143" s="3">
        <v>257</v>
      </c>
      <c r="AR143" s="3" t="str">
        <f>IFERROR(MID(VLOOKUP($B143,Seqs!$A:$B,2,0),AS143,1),"")</f>
        <v>S</v>
      </c>
      <c r="AS143" s="3">
        <v>262</v>
      </c>
      <c r="AT143" s="3" t="str">
        <f>IFERROR(MID(VLOOKUP($B143,Seqs!$A:$B,2,0),AU143,1),"")</f>
        <v>V</v>
      </c>
      <c r="AU143" s="3">
        <v>294</v>
      </c>
      <c r="AV143" s="3" t="str">
        <f>IFERROR(MID(VLOOKUP($B143,Seqs!$A:$B,2,0),AW143,1),"")</f>
        <v>G</v>
      </c>
      <c r="AW143" s="3">
        <v>295</v>
      </c>
      <c r="AX143" s="3" t="str">
        <f>IFERROR(MID(VLOOKUP($B143,Seqs!$A:$B,2,0),AY143,1),"")</f>
        <v>R</v>
      </c>
      <c r="AY143" s="3">
        <v>310</v>
      </c>
      <c r="BA143" s="124" t="str">
        <f>VLOOKUP(B143,Classification!A:D,2,0)</f>
        <v>A</v>
      </c>
      <c r="BC143" s="1"/>
      <c r="BD143" s="72" t="e">
        <f>S143-Q143+1</f>
        <v>#VALUE!</v>
      </c>
      <c r="BE143" s="57">
        <f t="shared" si="113"/>
        <v>255</v>
      </c>
      <c r="BF143" s="63" t="b">
        <f t="shared" si="114"/>
        <v>1</v>
      </c>
      <c r="BG143" s="116" t="s">
        <v>1513</v>
      </c>
      <c r="BH143" s="102" t="s">
        <v>1513</v>
      </c>
      <c r="BI143" s="102" t="s">
        <v>1513</v>
      </c>
      <c r="BJ143" s="102" t="s">
        <v>1513</v>
      </c>
      <c r="BK143" s="102" t="s">
        <v>1513</v>
      </c>
      <c r="BL143" s="102" t="s">
        <v>1513</v>
      </c>
      <c r="BM143" s="102" t="s">
        <v>1513</v>
      </c>
      <c r="BN143" s="102" t="s">
        <v>1513</v>
      </c>
      <c r="BO143" s="102" t="s">
        <v>1513</v>
      </c>
      <c r="BP143" s="102" t="s">
        <v>1513</v>
      </c>
      <c r="BQ143" s="102" t="s">
        <v>1513</v>
      </c>
      <c r="BR143" s="102" t="s">
        <v>1513</v>
      </c>
      <c r="BS143" s="116">
        <f t="shared" si="115"/>
        <v>26</v>
      </c>
      <c r="BT143" s="117">
        <f t="shared" si="116"/>
        <v>62</v>
      </c>
      <c r="BU143" s="118">
        <f t="shared" si="117"/>
        <v>66</v>
      </c>
      <c r="BV143" s="117" t="str">
        <f t="shared" si="118"/>
        <v>-</v>
      </c>
      <c r="BW143" s="118">
        <f t="shared" si="119"/>
        <v>103</v>
      </c>
      <c r="BX143" s="117" t="str">
        <f t="shared" si="120"/>
        <v>-</v>
      </c>
      <c r="BY143" s="118">
        <f t="shared" si="121"/>
        <v>141</v>
      </c>
      <c r="BZ143" s="117">
        <f t="shared" si="122"/>
        <v>173</v>
      </c>
      <c r="CA143" s="118">
        <f t="shared" si="123"/>
        <v>182</v>
      </c>
      <c r="CB143" s="117">
        <f t="shared" si="124"/>
        <v>222</v>
      </c>
      <c r="CC143" s="118">
        <f t="shared" si="125"/>
        <v>262</v>
      </c>
      <c r="CD143" s="117">
        <f t="shared" si="126"/>
        <v>295</v>
      </c>
      <c r="CE143" s="116">
        <f t="shared" si="127"/>
        <v>61</v>
      </c>
      <c r="CF143" s="117">
        <f t="shared" si="128"/>
        <v>65</v>
      </c>
      <c r="CG143" s="118">
        <f t="shared" si="129"/>
        <v>95</v>
      </c>
      <c r="CH143" s="118" t="str">
        <f t="shared" si="130"/>
        <v>-</v>
      </c>
      <c r="CI143" s="118">
        <f t="shared" si="131"/>
        <v>135</v>
      </c>
      <c r="CJ143" s="118" t="str">
        <f t="shared" si="132"/>
        <v>-</v>
      </c>
      <c r="CK143" s="118">
        <f t="shared" si="133"/>
        <v>165</v>
      </c>
      <c r="CL143" s="118">
        <f t="shared" si="134"/>
        <v>175</v>
      </c>
      <c r="CM143" s="118">
        <f t="shared" si="135"/>
        <v>218</v>
      </c>
      <c r="CN143" s="118">
        <f t="shared" si="136"/>
        <v>257</v>
      </c>
      <c r="CO143" s="118">
        <f t="shared" si="137"/>
        <v>294</v>
      </c>
      <c r="CP143" s="118">
        <f t="shared" si="138"/>
        <v>310</v>
      </c>
      <c r="CQ143" s="57">
        <f t="shared" si="139"/>
        <v>1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</row>
    <row r="144" spans="1:1026" x14ac:dyDescent="0.2">
      <c r="A144" s="3" t="str">
        <f t="shared" si="112"/>
        <v>us28_hcmva_4xT1</v>
      </c>
      <c r="B144" s="3" t="s">
        <v>1119</v>
      </c>
      <c r="C144" s="3" t="s">
        <v>286</v>
      </c>
      <c r="D144" s="3" t="str">
        <f>IFERROR(MID(VLOOKUP($B144,Seqs!$A:$B,2,0),E144,1),"")</f>
        <v>T</v>
      </c>
      <c r="E144" s="3">
        <v>26</v>
      </c>
      <c r="F144" s="3" t="str">
        <f>IFERROR(MID(VLOOKUP($B144,Seqs!$A:$B,2,0),G144,1),"")</f>
        <v>R</v>
      </c>
      <c r="G144" s="3">
        <v>61</v>
      </c>
      <c r="H144" s="3" t="str">
        <f>IFERROR(MID(VLOOKUP($B144,Seqs!$A:$B,2,0),I144,1),"")</f>
        <v/>
      </c>
      <c r="I144" s="57" t="s">
        <v>129</v>
      </c>
      <c r="J144" s="3" t="str">
        <f>IFERROR(MID(VLOOKUP($B144,Seqs!$A:$B,2,0),K144,1),"")</f>
        <v/>
      </c>
      <c r="K144" s="57" t="s">
        <v>129</v>
      </c>
      <c r="L144" s="3" t="str">
        <f>IFERROR(MID(VLOOKUP($B144,Seqs!$A:$B,2,0),M144,1),"")</f>
        <v>C</v>
      </c>
      <c r="M144" s="3">
        <v>66</v>
      </c>
      <c r="N144" s="3" t="str">
        <f>IFERROR(MID(VLOOKUP($B144,Seqs!$A:$B,2,0),O144,1),"")</f>
        <v>D</v>
      </c>
      <c r="O144" s="3">
        <v>95</v>
      </c>
      <c r="P144" s="3" t="str">
        <f>IFERROR(MID(VLOOKUP($B144,Seqs!$A:$B,2,0),Q144,1),"")</f>
        <v/>
      </c>
      <c r="Q144" s="3" t="s">
        <v>129</v>
      </c>
      <c r="R144" s="3" t="str">
        <f>IFERROR(MID(VLOOKUP($B144,Seqs!$A:$B,2,0),S144,1),"")</f>
        <v/>
      </c>
      <c r="S144" s="3" t="s">
        <v>129</v>
      </c>
      <c r="T144" s="3" t="str">
        <f>IFERROR(MID(VLOOKUP($B144,Seqs!$A:$B,2,0),U144,1),"")</f>
        <v>P</v>
      </c>
      <c r="U144" s="3">
        <v>103</v>
      </c>
      <c r="V144" s="3" t="str">
        <f>IFERROR(MID(VLOOKUP($B144,Seqs!$A:$B,2,0),W144,1),"")</f>
        <v>Y</v>
      </c>
      <c r="W144" s="3">
        <v>135</v>
      </c>
      <c r="X144" s="3" t="str">
        <f>IFERROR(MID(VLOOKUP($B144,Seqs!$A:$B,2,0),Y144,1),"")</f>
        <v/>
      </c>
      <c r="Y144" s="3" t="s">
        <v>129</v>
      </c>
      <c r="Z144" s="3" t="str">
        <f>IFERROR(MID(VLOOKUP($B144,Seqs!$A:$B,2,0),AA144,1),"")</f>
        <v/>
      </c>
      <c r="AA144" s="3" t="s">
        <v>129</v>
      </c>
      <c r="AB144" s="3" t="str">
        <f>IFERROR(MID(VLOOKUP($B144,Seqs!$A:$B,2,0),AC144,1),"")</f>
        <v>V</v>
      </c>
      <c r="AC144" s="3">
        <v>141</v>
      </c>
      <c r="AD144" s="3" t="str">
        <f>IFERROR(MID(VLOOKUP($B144,Seqs!$A:$B,2,0),AE144,1),"")</f>
        <v>V</v>
      </c>
      <c r="AE144" s="3">
        <v>165</v>
      </c>
      <c r="AF144" s="3" t="str">
        <f>IFERROR(MID(VLOOKUP($B144,Seqs!$A:$B,2,0),AG144,1),"")</f>
        <v>C</v>
      </c>
      <c r="AG144" s="3">
        <v>173</v>
      </c>
      <c r="AH144" s="3" t="str">
        <f>IFERROR(MID(VLOOKUP($B144,Seqs!$A:$B,2,0),AI144,1),"")</f>
        <v>T</v>
      </c>
      <c r="AI144" s="3">
        <v>175</v>
      </c>
      <c r="AJ144" s="3" t="str">
        <f>IFERROR(MID(VLOOKUP($B144,Seqs!$A:$B,2,0),AK144,1),"")</f>
        <v>V</v>
      </c>
      <c r="AK144" s="3">
        <v>182</v>
      </c>
      <c r="AL144" s="3" t="str">
        <f>IFERROR(MID(VLOOKUP($B144,Seqs!$A:$B,2,0),AM144,1),"")</f>
        <v>S</v>
      </c>
      <c r="AM144" s="3">
        <v>218</v>
      </c>
      <c r="AN144" s="3" t="str">
        <f>IFERROR(MID(VLOOKUP($B144,Seqs!$A:$B,2,0),AO144,1),"")</f>
        <v>H</v>
      </c>
      <c r="AO144" s="3">
        <v>222</v>
      </c>
      <c r="AP144" s="3" t="str">
        <f>IFERROR(MID(VLOOKUP($B144,Seqs!$A:$B,2,0),AQ144,1),"")</f>
        <v>K</v>
      </c>
      <c r="AQ144" s="3">
        <v>257</v>
      </c>
      <c r="AR144" s="3" t="str">
        <f>IFERROR(MID(VLOOKUP($B144,Seqs!$A:$B,2,0),AS144,1),"")</f>
        <v>C</v>
      </c>
      <c r="AS144" s="3">
        <v>263</v>
      </c>
      <c r="AT144" s="3" t="str">
        <f>IFERROR(MID(VLOOKUP($B144,Seqs!$A:$B,2,0),AU144,1),"")</f>
        <v>V</v>
      </c>
      <c r="AU144" s="3">
        <v>294</v>
      </c>
      <c r="AV144" s="3" t="str">
        <f>IFERROR(MID(VLOOKUP($B144,Seqs!$A:$B,2,0),AW144,1),"")</f>
        <v>G</v>
      </c>
      <c r="AW144" s="3">
        <v>295</v>
      </c>
      <c r="AX144" s="3" t="str">
        <f>IFERROR(MID(VLOOKUP($B144,Seqs!$A:$B,2,0),AY144,1),"")</f>
        <v>R</v>
      </c>
      <c r="AY144" s="3">
        <v>310</v>
      </c>
      <c r="BA144" s="124" t="str">
        <f>VLOOKUP(B144,Classification!A:D,2,0)</f>
        <v>A</v>
      </c>
      <c r="BC144" s="1"/>
      <c r="BD144" s="4"/>
      <c r="BE144" s="57">
        <f t="shared" si="113"/>
        <v>251</v>
      </c>
      <c r="BF144" s="63" t="b">
        <f t="shared" si="114"/>
        <v>1</v>
      </c>
      <c r="BG144" s="116" t="s">
        <v>1513</v>
      </c>
      <c r="BH144" s="102" t="s">
        <v>1513</v>
      </c>
      <c r="BI144" s="102" t="s">
        <v>1513</v>
      </c>
      <c r="BJ144" s="102" t="s">
        <v>1513</v>
      </c>
      <c r="BK144" s="102" t="s">
        <v>1513</v>
      </c>
      <c r="BL144" s="102" t="s">
        <v>1513</v>
      </c>
      <c r="BM144" s="102" t="s">
        <v>1513</v>
      </c>
      <c r="BN144" s="102" t="s">
        <v>1513</v>
      </c>
      <c r="BO144" s="102" t="s">
        <v>1513</v>
      </c>
      <c r="BP144" s="102" t="s">
        <v>1513</v>
      </c>
      <c r="BQ144" s="102" t="s">
        <v>1513</v>
      </c>
      <c r="BR144" s="102" t="s">
        <v>1513</v>
      </c>
      <c r="BS144" s="116">
        <f t="shared" si="115"/>
        <v>26</v>
      </c>
      <c r="BT144" s="117" t="str">
        <f t="shared" si="116"/>
        <v>-</v>
      </c>
      <c r="BU144" s="118">
        <f t="shared" si="117"/>
        <v>66</v>
      </c>
      <c r="BV144" s="117" t="str">
        <f t="shared" si="118"/>
        <v>-</v>
      </c>
      <c r="BW144" s="118">
        <f t="shared" si="119"/>
        <v>103</v>
      </c>
      <c r="BX144" s="117" t="str">
        <f t="shared" si="120"/>
        <v>-</v>
      </c>
      <c r="BY144" s="118">
        <f t="shared" si="121"/>
        <v>141</v>
      </c>
      <c r="BZ144" s="117">
        <f t="shared" si="122"/>
        <v>173</v>
      </c>
      <c r="CA144" s="118">
        <f t="shared" si="123"/>
        <v>182</v>
      </c>
      <c r="CB144" s="117">
        <f t="shared" si="124"/>
        <v>222</v>
      </c>
      <c r="CC144" s="118">
        <f t="shared" si="125"/>
        <v>263</v>
      </c>
      <c r="CD144" s="117">
        <f t="shared" si="126"/>
        <v>295</v>
      </c>
      <c r="CE144" s="116">
        <f t="shared" si="127"/>
        <v>61</v>
      </c>
      <c r="CF144" s="117" t="str">
        <f t="shared" si="128"/>
        <v>-</v>
      </c>
      <c r="CG144" s="118">
        <f t="shared" si="129"/>
        <v>95</v>
      </c>
      <c r="CH144" s="118" t="str">
        <f t="shared" si="130"/>
        <v>-</v>
      </c>
      <c r="CI144" s="118">
        <f t="shared" si="131"/>
        <v>135</v>
      </c>
      <c r="CJ144" s="118" t="str">
        <f t="shared" si="132"/>
        <v>-</v>
      </c>
      <c r="CK144" s="118">
        <f t="shared" si="133"/>
        <v>165</v>
      </c>
      <c r="CL144" s="118">
        <f t="shared" si="134"/>
        <v>175</v>
      </c>
      <c r="CM144" s="118">
        <f t="shared" si="135"/>
        <v>218</v>
      </c>
      <c r="CN144" s="118">
        <f t="shared" si="136"/>
        <v>257</v>
      </c>
      <c r="CO144" s="118">
        <f t="shared" si="137"/>
        <v>294</v>
      </c>
      <c r="CP144" s="118">
        <f t="shared" si="138"/>
        <v>310</v>
      </c>
      <c r="CQ144" s="57" t="e">
        <f t="shared" si="139"/>
        <v>#VALUE!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</row>
    <row r="145" spans="1:1026" x14ac:dyDescent="0.2">
      <c r="A145" s="3" t="str">
        <f t="shared" si="112"/>
        <v>crfr1_human__wt</v>
      </c>
      <c r="B145" s="3" t="s">
        <v>213</v>
      </c>
      <c r="C145" s="3" t="s">
        <v>293</v>
      </c>
      <c r="D145" s="3" t="str">
        <f>IFERROR(MID(VLOOKUP($B145,Seqs!$A:$B,2,0),E145,1),"")</f>
        <v>Q</v>
      </c>
      <c r="E145" s="3">
        <v>103</v>
      </c>
      <c r="F145" s="3" t="str">
        <f>IFERROR(MID(VLOOKUP($B145,Seqs!$A:$B,2,0),G145,1),"")</f>
        <v>L</v>
      </c>
      <c r="G145" s="3">
        <v>144</v>
      </c>
      <c r="H145" s="3" t="str">
        <f>IFERROR(MID(VLOOKUP($B145,Seqs!$A:$B,2,0),I145,1),"")</f>
        <v>R</v>
      </c>
      <c r="I145" s="57">
        <v>145</v>
      </c>
      <c r="J145" s="3" t="str">
        <f>IFERROR(MID(VLOOKUP($B145,Seqs!$A:$B,2,0),K145,1),"")</f>
        <v>R</v>
      </c>
      <c r="K145" s="57">
        <v>148</v>
      </c>
      <c r="L145" s="3" t="str">
        <f>IFERROR(MID(VLOOKUP($B145,Seqs!$A:$B,2,0),M145,1),"")</f>
        <v>C</v>
      </c>
      <c r="M145" s="57">
        <v>149</v>
      </c>
      <c r="N145" s="3" t="str">
        <f>IFERROR(MID(VLOOKUP($B145,Seqs!$A:$B,2,0),O145,1),"")</f>
        <v>T</v>
      </c>
      <c r="O145" s="3">
        <v>175</v>
      </c>
      <c r="P145" s="3" t="str">
        <f>IFERROR(MID(VLOOKUP($B145,Seqs!$A:$B,2,0),Q145,1),"")</f>
        <v/>
      </c>
      <c r="Q145" s="3" t="s">
        <v>129</v>
      </c>
      <c r="R145" s="3" t="str">
        <f>IFERROR(MID(VLOOKUP($B145,Seqs!$A:$B,2,0),S145,1),"")</f>
        <v/>
      </c>
      <c r="S145" s="3" t="s">
        <v>129</v>
      </c>
      <c r="T145" s="3" t="str">
        <f>IFERROR(MID(VLOOKUP($B145,Seqs!$A:$B,2,0),U145,1),"")</f>
        <v>G</v>
      </c>
      <c r="U145" s="3">
        <v>186</v>
      </c>
      <c r="V145" s="3" t="str">
        <f>IFERROR(MID(VLOOKUP($B145,Seqs!$A:$B,2,0),W145,1),"")</f>
        <v>L</v>
      </c>
      <c r="W145" s="3">
        <v>219</v>
      </c>
      <c r="X145" s="3" t="str">
        <f>IFERROR(MID(VLOOKUP($B145,Seqs!$A:$B,2,0),Y145,1),"")</f>
        <v/>
      </c>
      <c r="Y145" s="3" t="s">
        <v>129</v>
      </c>
      <c r="Z145" s="3" t="str">
        <f>IFERROR(MID(VLOOKUP($B145,Seqs!$A:$B,2,0),AA145,1),"")</f>
        <v/>
      </c>
      <c r="AA145" s="3" t="s">
        <v>129</v>
      </c>
      <c r="AB145" s="3" t="str">
        <f>IFERROR(MID(VLOOKUP($B145,Seqs!$A:$B,2,0),AC145,1),"")</f>
        <v>L</v>
      </c>
      <c r="AC145" s="3">
        <v>226</v>
      </c>
      <c r="AD145" s="3" t="str">
        <f>IFERROR(MID(VLOOKUP($B145,Seqs!$A:$B,2,0),AE145,1),"")</f>
        <v>D</v>
      </c>
      <c r="AE145" s="3">
        <v>254</v>
      </c>
      <c r="AF145" s="3" t="str">
        <f>IFERROR(MID(VLOOKUP($B145,Seqs!$A:$B,2,0),AG145,1),"")</f>
        <v>C</v>
      </c>
      <c r="AG145" s="3">
        <v>258</v>
      </c>
      <c r="AH145" s="3" t="str">
        <f>IFERROR(MID(VLOOKUP($B145,Seqs!$A:$B,2,0),AI145,1),"")</f>
        <v>F</v>
      </c>
      <c r="AI145" s="3">
        <v>260</v>
      </c>
      <c r="AJ145" s="3" t="str">
        <f>IFERROR(MID(VLOOKUP($B145,Seqs!$A:$B,2,0),AK145,1),"")</f>
        <v>T</v>
      </c>
      <c r="AK145" s="3">
        <v>268</v>
      </c>
      <c r="AL145" s="3" t="str">
        <f>IFERROR(MID(VLOOKUP($B145,Seqs!$A:$B,2,0),AM145,1),"")</f>
        <v>L</v>
      </c>
      <c r="AM145" s="3">
        <v>298</v>
      </c>
      <c r="AN145" s="3" t="str">
        <f>IFERROR(MID(VLOOKUP($B145,Seqs!$A:$B,2,0),AO145,1),"")</f>
        <v>S</v>
      </c>
      <c r="AO145" s="3">
        <v>304</v>
      </c>
      <c r="AP145" s="3" t="str">
        <f>IFERROR(MID(VLOOKUP($B145,Seqs!$A:$B,2,0),AQ145,1),"")</f>
        <v>V</v>
      </c>
      <c r="AQ145" s="3">
        <v>332</v>
      </c>
      <c r="AR145" s="3" t="str">
        <f>IFERROR(MID(VLOOKUP($B145,Seqs!$A:$B,2,0),AS145,1),"")</f>
        <v>V</v>
      </c>
      <c r="AS145" s="3">
        <v>339</v>
      </c>
      <c r="AT145" s="3" t="str">
        <f>IFERROR(MID(VLOOKUP($B145,Seqs!$A:$B,2,0),AU145,1),"")</f>
        <v>L</v>
      </c>
      <c r="AU145" s="3">
        <v>366</v>
      </c>
      <c r="AV145" s="3" t="str">
        <f>IFERROR(MID(VLOOKUP($B145,Seqs!$A:$B,2,0),AW145,1),"")</f>
        <v>N</v>
      </c>
      <c r="AW145" s="3">
        <v>367</v>
      </c>
      <c r="AX145" s="3" t="str">
        <f>IFERROR(MID(VLOOKUP($B145,Seqs!$A:$B,2,0),AY145,1),"")</f>
        <v>A</v>
      </c>
      <c r="AY145" s="3">
        <v>392</v>
      </c>
      <c r="BA145" s="124" t="str">
        <f>VLOOKUP(B145,Classification!A:D,2,0)</f>
        <v>B1</v>
      </c>
      <c r="BC145" s="1"/>
      <c r="BD145" s="101" t="e">
        <f>S145-Q145+1</f>
        <v>#VALUE!</v>
      </c>
      <c r="BE145" s="57">
        <f t="shared" si="113"/>
        <v>255</v>
      </c>
      <c r="BF145" s="63" t="b">
        <f t="shared" si="114"/>
        <v>1</v>
      </c>
      <c r="BG145" s="116" t="s">
        <v>1513</v>
      </c>
      <c r="BH145" s="102" t="s">
        <v>1513</v>
      </c>
      <c r="BI145" s="102" t="s">
        <v>1513</v>
      </c>
      <c r="BJ145" s="102" t="s">
        <v>1513</v>
      </c>
      <c r="BK145" s="102" t="s">
        <v>1513</v>
      </c>
      <c r="BL145" s="102" t="s">
        <v>1513</v>
      </c>
      <c r="BM145" s="102" t="s">
        <v>1513</v>
      </c>
      <c r="BN145" s="102" t="s">
        <v>1513</v>
      </c>
      <c r="BO145" s="102" t="s">
        <v>1513</v>
      </c>
      <c r="BP145" s="102" t="s">
        <v>1513</v>
      </c>
      <c r="BQ145" s="102" t="s">
        <v>1513</v>
      </c>
      <c r="BR145" s="102" t="s">
        <v>1513</v>
      </c>
      <c r="BS145" s="116">
        <f t="shared" si="115"/>
        <v>103</v>
      </c>
      <c r="BT145" s="117">
        <f t="shared" si="116"/>
        <v>145</v>
      </c>
      <c r="BU145" s="118">
        <f t="shared" si="117"/>
        <v>149</v>
      </c>
      <c r="BV145" s="117" t="str">
        <f t="shared" si="118"/>
        <v>-</v>
      </c>
      <c r="BW145" s="118">
        <f t="shared" si="119"/>
        <v>186</v>
      </c>
      <c r="BX145" s="117" t="str">
        <f t="shared" si="120"/>
        <v>-</v>
      </c>
      <c r="BY145" s="118">
        <f t="shared" si="121"/>
        <v>226</v>
      </c>
      <c r="BZ145" s="117">
        <f t="shared" si="122"/>
        <v>258</v>
      </c>
      <c r="CA145" s="118">
        <f t="shared" si="123"/>
        <v>268</v>
      </c>
      <c r="CB145" s="117">
        <f t="shared" si="124"/>
        <v>304</v>
      </c>
      <c r="CC145" s="118">
        <f t="shared" si="125"/>
        <v>339</v>
      </c>
      <c r="CD145" s="117">
        <f t="shared" si="126"/>
        <v>367</v>
      </c>
      <c r="CE145" s="116">
        <f t="shared" si="127"/>
        <v>144</v>
      </c>
      <c r="CF145" s="117">
        <f t="shared" si="128"/>
        <v>148</v>
      </c>
      <c r="CG145" s="118">
        <f t="shared" si="129"/>
        <v>175</v>
      </c>
      <c r="CH145" s="118" t="str">
        <f t="shared" si="130"/>
        <v>-</v>
      </c>
      <c r="CI145" s="118">
        <f t="shared" si="131"/>
        <v>219</v>
      </c>
      <c r="CJ145" s="118" t="str">
        <f t="shared" si="132"/>
        <v>-</v>
      </c>
      <c r="CK145" s="118">
        <f t="shared" si="133"/>
        <v>254</v>
      </c>
      <c r="CL145" s="118">
        <f t="shared" si="134"/>
        <v>260</v>
      </c>
      <c r="CM145" s="118">
        <f t="shared" si="135"/>
        <v>298</v>
      </c>
      <c r="CN145" s="118">
        <f t="shared" si="136"/>
        <v>332</v>
      </c>
      <c r="CO145" s="118">
        <f t="shared" si="137"/>
        <v>366</v>
      </c>
      <c r="CP145" s="118">
        <f t="shared" si="138"/>
        <v>392</v>
      </c>
      <c r="CQ145" s="57">
        <f t="shared" si="139"/>
        <v>1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</row>
    <row r="146" spans="1:1026" x14ac:dyDescent="0.2">
      <c r="A146" s="3" t="str">
        <f t="shared" si="112"/>
        <v>crfr1_human_4K5Y</v>
      </c>
      <c r="B146" s="3" t="s">
        <v>213</v>
      </c>
      <c r="C146" s="3" t="s">
        <v>287</v>
      </c>
      <c r="D146" s="3" t="str">
        <f>IFERROR(MID(VLOOKUP($B146,Seqs!$A:$B,2,0),E146,1),"")</f>
        <v>H</v>
      </c>
      <c r="E146" s="3">
        <v>117</v>
      </c>
      <c r="F146" s="3" t="str">
        <f>IFERROR(MID(VLOOKUP($B146,Seqs!$A:$B,2,0),G146,1),"")</f>
        <v>L</v>
      </c>
      <c r="G146" s="3">
        <v>144</v>
      </c>
      <c r="H146" s="3" t="str">
        <f>IFERROR(MID(VLOOKUP($B146,Seqs!$A:$B,2,0),I146,1),"")</f>
        <v>R</v>
      </c>
      <c r="I146" s="57">
        <v>145</v>
      </c>
      <c r="J146" s="3" t="str">
        <f>IFERROR(MID(VLOOKUP($B146,Seqs!$A:$B,2,0),K146,1),"")</f>
        <v>R</v>
      </c>
      <c r="K146" s="57">
        <v>148</v>
      </c>
      <c r="L146" s="3" t="str">
        <f>IFERROR(MID(VLOOKUP($B146,Seqs!$A:$B,2,0),M146,1),"")</f>
        <v>C</v>
      </c>
      <c r="M146" s="57">
        <v>149</v>
      </c>
      <c r="N146" s="3" t="str">
        <f>IFERROR(MID(VLOOKUP($B146,Seqs!$A:$B,2,0),O146,1),"")</f>
        <v>T</v>
      </c>
      <c r="O146" s="3">
        <v>175</v>
      </c>
      <c r="P146" s="3" t="str">
        <f>IFERROR(MID(VLOOKUP($B146,Seqs!$A:$B,2,0),Q146,1),"")</f>
        <v/>
      </c>
      <c r="Q146" s="3" t="s">
        <v>129</v>
      </c>
      <c r="R146" s="3" t="str">
        <f>IFERROR(MID(VLOOKUP($B146,Seqs!$A:$B,2,0),S146,1),"")</f>
        <v/>
      </c>
      <c r="S146" s="3" t="s">
        <v>129</v>
      </c>
      <c r="T146" s="3" t="str">
        <f>IFERROR(MID(VLOOKUP($B146,Seqs!$A:$B,2,0),U146,1),"")</f>
        <v>G</v>
      </c>
      <c r="U146" s="3">
        <v>186</v>
      </c>
      <c r="V146" s="3" t="str">
        <f>IFERROR(MID(VLOOKUP($B146,Seqs!$A:$B,2,0),W146,1),"")</f>
        <v>L</v>
      </c>
      <c r="W146" s="3">
        <v>219</v>
      </c>
      <c r="X146" s="3" t="str">
        <f>IFERROR(MID(VLOOKUP($B146,Seqs!$A:$B,2,0),Y146,1),"")</f>
        <v/>
      </c>
      <c r="Y146" s="3" t="s">
        <v>129</v>
      </c>
      <c r="Z146" s="3" t="str">
        <f>IFERROR(MID(VLOOKUP($B146,Seqs!$A:$B,2,0),AA146,1),"")</f>
        <v/>
      </c>
      <c r="AA146" s="3" t="s">
        <v>129</v>
      </c>
      <c r="AB146" s="3" t="str">
        <f>IFERROR(MID(VLOOKUP($B146,Seqs!$A:$B,2,0),AC146,1),"")</f>
        <v>L</v>
      </c>
      <c r="AC146" s="3">
        <v>226</v>
      </c>
      <c r="AD146" s="3" t="str">
        <f>IFERROR(MID(VLOOKUP($B146,Seqs!$A:$B,2,0),AE146,1),"")</f>
        <v>D</v>
      </c>
      <c r="AE146" s="3">
        <v>254</v>
      </c>
      <c r="AF146" s="3" t="str">
        <f>IFERROR(MID(VLOOKUP($B146,Seqs!$A:$B,2,0),AG146,1),"")</f>
        <v>C</v>
      </c>
      <c r="AG146" s="3">
        <v>258</v>
      </c>
      <c r="AH146" s="3" t="str">
        <f>IFERROR(MID(VLOOKUP($B146,Seqs!$A:$B,2,0),AI146,1),"")</f>
        <v>F</v>
      </c>
      <c r="AI146" s="3">
        <v>260</v>
      </c>
      <c r="AJ146" s="3" t="str">
        <f>IFERROR(MID(VLOOKUP($B146,Seqs!$A:$B,2,0),AK146,1),"")</f>
        <v>T</v>
      </c>
      <c r="AK146" s="3">
        <v>268</v>
      </c>
      <c r="AL146" s="3" t="str">
        <f>IFERROR(MID(VLOOKUP($B146,Seqs!$A:$B,2,0),AM146,1),"")</f>
        <v>L</v>
      </c>
      <c r="AM146" s="3">
        <v>298</v>
      </c>
      <c r="AN146" s="3" t="str">
        <f>IFERROR(MID(VLOOKUP($B146,Seqs!$A:$B,2,0),AO146,1),"")</f>
        <v>S</v>
      </c>
      <c r="AO146" s="3">
        <v>304</v>
      </c>
      <c r="AP146" s="3" t="str">
        <f>IFERROR(MID(VLOOKUP($B146,Seqs!$A:$B,2,0),AQ146,1),"")</f>
        <v>V</v>
      </c>
      <c r="AQ146" s="3">
        <v>332</v>
      </c>
      <c r="AR146" s="3" t="str">
        <f>IFERROR(MID(VLOOKUP($B146,Seqs!$A:$B,2,0),AS146,1),"")</f>
        <v>V</v>
      </c>
      <c r="AS146" s="3">
        <v>339</v>
      </c>
      <c r="AT146" s="3" t="str">
        <f>IFERROR(MID(VLOOKUP($B146,Seqs!$A:$B,2,0),AU146,1),"")</f>
        <v>F</v>
      </c>
      <c r="AU146" s="3">
        <v>362</v>
      </c>
      <c r="AV146" s="3" t="str">
        <f>IFERROR(MID(VLOOKUP($B146,Seqs!$A:$B,2,0),AW146,1),"")</f>
        <v/>
      </c>
      <c r="AW146" s="3" t="s">
        <v>129</v>
      </c>
      <c r="AX146" s="3" t="str">
        <f>IFERROR(MID(VLOOKUP($B146,Seqs!$A:$B,2,0),AY146,1),"")</f>
        <v/>
      </c>
      <c r="AY146" s="3" t="s">
        <v>129</v>
      </c>
      <c r="BA146" s="124" t="str">
        <f>VLOOKUP(B146,Classification!A:D,2,0)</f>
        <v>B1</v>
      </c>
      <c r="BC146" s="1"/>
      <c r="BD146" s="5"/>
      <c r="BE146" s="57">
        <f t="shared" si="113"/>
        <v>212</v>
      </c>
      <c r="BF146" s="63" t="b">
        <f t="shared" si="114"/>
        <v>1</v>
      </c>
      <c r="BG146" s="116" t="s">
        <v>1513</v>
      </c>
      <c r="BH146" s="102" t="s">
        <v>1513</v>
      </c>
      <c r="BI146" s="102" t="s">
        <v>1513</v>
      </c>
      <c r="BJ146" s="102" t="s">
        <v>1513</v>
      </c>
      <c r="BK146" s="102" t="s">
        <v>1513</v>
      </c>
      <c r="BL146" s="102" t="s">
        <v>1513</v>
      </c>
      <c r="BM146" s="102" t="s">
        <v>1513</v>
      </c>
      <c r="BN146" s="102" t="s">
        <v>1513</v>
      </c>
      <c r="BO146" s="102" t="s">
        <v>1513</v>
      </c>
      <c r="BP146" s="102" t="s">
        <v>1513</v>
      </c>
      <c r="BQ146" s="102" t="s">
        <v>1513</v>
      </c>
      <c r="BR146" s="102" t="s">
        <v>1513</v>
      </c>
      <c r="BS146" s="116">
        <f t="shared" si="115"/>
        <v>117</v>
      </c>
      <c r="BT146" s="117">
        <f t="shared" si="116"/>
        <v>145</v>
      </c>
      <c r="BU146" s="118">
        <f t="shared" si="117"/>
        <v>149</v>
      </c>
      <c r="BV146" s="117" t="str">
        <f t="shared" si="118"/>
        <v>-</v>
      </c>
      <c r="BW146" s="118">
        <f t="shared" si="119"/>
        <v>186</v>
      </c>
      <c r="BX146" s="117" t="str">
        <f t="shared" si="120"/>
        <v>-</v>
      </c>
      <c r="BY146" s="118">
        <f t="shared" si="121"/>
        <v>226</v>
      </c>
      <c r="BZ146" s="117">
        <f t="shared" si="122"/>
        <v>258</v>
      </c>
      <c r="CA146" s="118">
        <f t="shared" si="123"/>
        <v>268</v>
      </c>
      <c r="CB146" s="117">
        <f t="shared" si="124"/>
        <v>304</v>
      </c>
      <c r="CC146" s="118">
        <f t="shared" si="125"/>
        <v>339</v>
      </c>
      <c r="CD146" s="117" t="str">
        <f t="shared" si="126"/>
        <v>-</v>
      </c>
      <c r="CE146" s="116">
        <f t="shared" si="127"/>
        <v>144</v>
      </c>
      <c r="CF146" s="117">
        <f t="shared" si="128"/>
        <v>148</v>
      </c>
      <c r="CG146" s="118">
        <f t="shared" si="129"/>
        <v>175</v>
      </c>
      <c r="CH146" s="118" t="str">
        <f t="shared" si="130"/>
        <v>-</v>
      </c>
      <c r="CI146" s="118">
        <f t="shared" si="131"/>
        <v>219</v>
      </c>
      <c r="CJ146" s="118" t="str">
        <f t="shared" si="132"/>
        <v>-</v>
      </c>
      <c r="CK146" s="118">
        <f t="shared" si="133"/>
        <v>254</v>
      </c>
      <c r="CL146" s="118">
        <f t="shared" si="134"/>
        <v>260</v>
      </c>
      <c r="CM146" s="118">
        <f t="shared" si="135"/>
        <v>298</v>
      </c>
      <c r="CN146" s="118">
        <f t="shared" si="136"/>
        <v>332</v>
      </c>
      <c r="CO146" s="118">
        <f t="shared" si="137"/>
        <v>362</v>
      </c>
      <c r="CP146" s="118" t="str">
        <f t="shared" si="138"/>
        <v>-</v>
      </c>
      <c r="CQ146" s="57">
        <f t="shared" si="139"/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</row>
    <row r="147" spans="1:1026" x14ac:dyDescent="0.2">
      <c r="A147" s="3" t="str">
        <f t="shared" si="112"/>
        <v>crfr1_human_4K5Y_dist</v>
      </c>
      <c r="B147" s="3" t="s">
        <v>213</v>
      </c>
      <c r="C147" s="3" t="s">
        <v>1379</v>
      </c>
      <c r="D147" s="3" t="str">
        <f>IFERROR(MID(VLOOKUP($B147,Seqs!$A:$B,2,0),E147,1),"")</f>
        <v>H</v>
      </c>
      <c r="E147" s="3">
        <v>117</v>
      </c>
      <c r="F147" s="3" t="str">
        <f>IFERROR(MID(VLOOKUP($B147,Seqs!$A:$B,2,0),G147,1),"")</f>
        <v>L</v>
      </c>
      <c r="G147" s="3">
        <v>144</v>
      </c>
      <c r="H147" s="3" t="str">
        <f>IFERROR(MID(VLOOKUP($B147,Seqs!$A:$B,2,0),I147,1),"")</f>
        <v>R</v>
      </c>
      <c r="I147" s="57">
        <v>145</v>
      </c>
      <c r="J147" s="3" t="str">
        <f>IFERROR(MID(VLOOKUP($B147,Seqs!$A:$B,2,0),K147,1),"")</f>
        <v>R</v>
      </c>
      <c r="K147" s="57">
        <v>148</v>
      </c>
      <c r="L147" s="3" t="str">
        <f>IFERROR(MID(VLOOKUP($B147,Seqs!$A:$B,2,0),M147,1),"")</f>
        <v>C</v>
      </c>
      <c r="M147" s="57">
        <v>149</v>
      </c>
      <c r="N147" s="3" t="str">
        <f>IFERROR(MID(VLOOKUP($B147,Seqs!$A:$B,2,0),O147,1),"")</f>
        <v>T</v>
      </c>
      <c r="O147" s="3">
        <v>175</v>
      </c>
      <c r="P147" s="3" t="str">
        <f>IFERROR(MID(VLOOKUP($B147,Seqs!$A:$B,2,0),Q147,1),"")</f>
        <v/>
      </c>
      <c r="Q147" s="3" t="s">
        <v>129</v>
      </c>
      <c r="R147" s="3" t="str">
        <f>IFERROR(MID(VLOOKUP($B147,Seqs!$A:$B,2,0),S147,1),"")</f>
        <v/>
      </c>
      <c r="S147" s="3" t="s">
        <v>129</v>
      </c>
      <c r="T147" s="3" t="str">
        <f>IFERROR(MID(VLOOKUP($B147,Seqs!$A:$B,2,0),U147,1),"")</f>
        <v>G</v>
      </c>
      <c r="U147" s="3">
        <v>186</v>
      </c>
      <c r="V147" s="3" t="str">
        <f>IFERROR(MID(VLOOKUP($B147,Seqs!$A:$B,2,0),W147,1),"")</f>
        <v>L</v>
      </c>
      <c r="W147" s="3">
        <v>219</v>
      </c>
      <c r="X147" s="3" t="str">
        <f>IFERROR(MID(VLOOKUP($B147,Seqs!$A:$B,2,0),Y147,1),"")</f>
        <v/>
      </c>
      <c r="Y147" s="3" t="s">
        <v>129</v>
      </c>
      <c r="Z147" s="3" t="str">
        <f>IFERROR(MID(VLOOKUP($B147,Seqs!$A:$B,2,0),AA147,1),"")</f>
        <v/>
      </c>
      <c r="AA147" s="3" t="s">
        <v>129</v>
      </c>
      <c r="AB147" s="3" t="str">
        <f>IFERROR(MID(VLOOKUP($B147,Seqs!$A:$B,2,0),AC147,1),"")</f>
        <v>L</v>
      </c>
      <c r="AC147" s="3">
        <v>226</v>
      </c>
      <c r="AD147" s="3" t="str">
        <f>IFERROR(MID(VLOOKUP($B147,Seqs!$A:$B,2,0),AE147,1),"")</f>
        <v>D</v>
      </c>
      <c r="AE147" s="3">
        <v>254</v>
      </c>
      <c r="AF147" s="3" t="str">
        <f>IFERROR(MID(VLOOKUP($B147,Seqs!$A:$B,2,0),AG147,1),"")</f>
        <v>C</v>
      </c>
      <c r="AG147" s="3">
        <v>258</v>
      </c>
      <c r="AH147" s="3" t="str">
        <f>IFERROR(MID(VLOOKUP($B147,Seqs!$A:$B,2,0),AI147,1),"")</f>
        <v>F</v>
      </c>
      <c r="AI147" s="3">
        <v>260</v>
      </c>
      <c r="AJ147" s="3" t="str">
        <f>IFERROR(MID(VLOOKUP($B147,Seqs!$A:$B,2,0),AK147,1),"")</f>
        <v>T</v>
      </c>
      <c r="AK147" s="3">
        <v>268</v>
      </c>
      <c r="AL147" s="3" t="str">
        <f>IFERROR(MID(VLOOKUP($B147,Seqs!$A:$B,2,0),AM147,1),"")</f>
        <v>L</v>
      </c>
      <c r="AM147" s="3">
        <v>298</v>
      </c>
      <c r="AN147" s="3" t="str">
        <f>IFERROR(MID(VLOOKUP($B147,Seqs!$A:$B,2,0),AO147,1),"")</f>
        <v>S</v>
      </c>
      <c r="AO147" s="3">
        <v>304</v>
      </c>
      <c r="AP147" s="3" t="str">
        <f>IFERROR(MID(VLOOKUP($B147,Seqs!$A:$B,2,0),AQ147,1),"")</f>
        <v>V</v>
      </c>
      <c r="AQ147" s="3">
        <v>332</v>
      </c>
      <c r="AR147" s="3" t="str">
        <f>IFERROR(MID(VLOOKUP($B147,Seqs!$A:$B,2,0),AS147,1),"")</f>
        <v>V</v>
      </c>
      <c r="AS147" s="3">
        <v>339</v>
      </c>
      <c r="AT147" s="3" t="str">
        <f>IFERROR(MID(VLOOKUP($B147,Seqs!$A:$B,2,0),AU147,1),"")</f>
        <v>L</v>
      </c>
      <c r="AU147" s="3">
        <v>366</v>
      </c>
      <c r="AV147" s="3" t="str">
        <f>IFERROR(MID(VLOOKUP($B147,Seqs!$A:$B,2,0),AW147,1),"")</f>
        <v/>
      </c>
      <c r="AW147" s="3" t="s">
        <v>129</v>
      </c>
      <c r="AX147" s="3" t="str">
        <f>IFERROR(MID(VLOOKUP($B147,Seqs!$A:$B,2,0),AY147,1),"")</f>
        <v/>
      </c>
      <c r="AY147" s="3" t="s">
        <v>129</v>
      </c>
      <c r="BA147" s="124" t="str">
        <f>VLOOKUP(B147,Classification!A:D,2,0)</f>
        <v>B1</v>
      </c>
      <c r="BC147" s="3" t="s">
        <v>1381</v>
      </c>
      <c r="BD147" s="1"/>
      <c r="BE147" s="57">
        <f t="shared" si="113"/>
        <v>216</v>
      </c>
      <c r="BF147" s="63" t="b">
        <f t="shared" si="114"/>
        <v>1</v>
      </c>
      <c r="BG147" s="116" t="s">
        <v>1513</v>
      </c>
      <c r="BH147" s="102" t="s">
        <v>1513</v>
      </c>
      <c r="BI147" s="102" t="s">
        <v>1513</v>
      </c>
      <c r="BJ147" s="102" t="s">
        <v>1513</v>
      </c>
      <c r="BK147" s="102" t="s">
        <v>1513</v>
      </c>
      <c r="BL147" s="102" t="s">
        <v>1513</v>
      </c>
      <c r="BM147" s="102" t="s">
        <v>1513</v>
      </c>
      <c r="BN147" s="102" t="s">
        <v>1513</v>
      </c>
      <c r="BO147" s="102" t="s">
        <v>1513</v>
      </c>
      <c r="BP147" s="102" t="s">
        <v>1513</v>
      </c>
      <c r="BQ147" s="102" t="s">
        <v>1513</v>
      </c>
      <c r="BR147" s="102" t="s">
        <v>1513</v>
      </c>
      <c r="BS147" s="116">
        <f t="shared" si="115"/>
        <v>117</v>
      </c>
      <c r="BT147" s="117">
        <f t="shared" si="116"/>
        <v>145</v>
      </c>
      <c r="BU147" s="118">
        <f t="shared" si="117"/>
        <v>149</v>
      </c>
      <c r="BV147" s="117" t="str">
        <f t="shared" si="118"/>
        <v>-</v>
      </c>
      <c r="BW147" s="118">
        <f t="shared" si="119"/>
        <v>186</v>
      </c>
      <c r="BX147" s="117" t="str">
        <f t="shared" si="120"/>
        <v>-</v>
      </c>
      <c r="BY147" s="118">
        <f t="shared" si="121"/>
        <v>226</v>
      </c>
      <c r="BZ147" s="117">
        <f t="shared" si="122"/>
        <v>258</v>
      </c>
      <c r="CA147" s="118">
        <f t="shared" si="123"/>
        <v>268</v>
      </c>
      <c r="CB147" s="117">
        <f t="shared" si="124"/>
        <v>304</v>
      </c>
      <c r="CC147" s="118">
        <f t="shared" si="125"/>
        <v>339</v>
      </c>
      <c r="CD147" s="117" t="str">
        <f t="shared" si="126"/>
        <v>-</v>
      </c>
      <c r="CE147" s="116">
        <f t="shared" si="127"/>
        <v>144</v>
      </c>
      <c r="CF147" s="117">
        <f t="shared" si="128"/>
        <v>148</v>
      </c>
      <c r="CG147" s="118">
        <f t="shared" si="129"/>
        <v>175</v>
      </c>
      <c r="CH147" s="118" t="str">
        <f t="shared" si="130"/>
        <v>-</v>
      </c>
      <c r="CI147" s="118">
        <f t="shared" si="131"/>
        <v>219</v>
      </c>
      <c r="CJ147" s="118" t="str">
        <f t="shared" si="132"/>
        <v>-</v>
      </c>
      <c r="CK147" s="118">
        <f t="shared" si="133"/>
        <v>254</v>
      </c>
      <c r="CL147" s="118">
        <f t="shared" si="134"/>
        <v>260</v>
      </c>
      <c r="CM147" s="118">
        <f t="shared" si="135"/>
        <v>298</v>
      </c>
      <c r="CN147" s="118">
        <f t="shared" si="136"/>
        <v>332</v>
      </c>
      <c r="CO147" s="118">
        <f t="shared" si="137"/>
        <v>366</v>
      </c>
      <c r="CP147" s="118" t="str">
        <f t="shared" si="138"/>
        <v>-</v>
      </c>
      <c r="CQ147" s="57">
        <f t="shared" si="139"/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</row>
    <row r="148" spans="1:1026" x14ac:dyDescent="0.2">
      <c r="A148" s="3" t="str">
        <f t="shared" si="112"/>
        <v>crfr1_human_4Z9G</v>
      </c>
      <c r="B148" s="3" t="s">
        <v>213</v>
      </c>
      <c r="C148" s="3" t="s">
        <v>1265</v>
      </c>
      <c r="D148" s="3" t="str">
        <f>IFERROR(MID(VLOOKUP($B148,Seqs!$A:$B,2,0),E148,1),"")</f>
        <v>S</v>
      </c>
      <c r="E148" s="3">
        <v>112</v>
      </c>
      <c r="F148" s="3" t="str">
        <f>IFERROR(MID(VLOOKUP($B148,Seqs!$A:$B,2,0),G148,1),"")</f>
        <v>L</v>
      </c>
      <c r="G148" s="3">
        <v>144</v>
      </c>
      <c r="H148" s="3" t="str">
        <f>IFERROR(MID(VLOOKUP($B148,Seqs!$A:$B,2,0),I148,1),"")</f>
        <v>R</v>
      </c>
      <c r="I148" s="57">
        <v>145</v>
      </c>
      <c r="J148" s="3" t="str">
        <f>IFERROR(MID(VLOOKUP($B148,Seqs!$A:$B,2,0),K148,1),"")</f>
        <v>R</v>
      </c>
      <c r="K148" s="57">
        <v>148</v>
      </c>
      <c r="L148" s="3" t="str">
        <f>IFERROR(MID(VLOOKUP($B148,Seqs!$A:$B,2,0),M148,1),"")</f>
        <v>C</v>
      </c>
      <c r="M148" s="57">
        <v>149</v>
      </c>
      <c r="N148" s="3" t="str">
        <f>IFERROR(MID(VLOOKUP($B148,Seqs!$A:$B,2,0),O148,1),"")</f>
        <v>T</v>
      </c>
      <c r="O148" s="3">
        <v>175</v>
      </c>
      <c r="P148" s="3" t="str">
        <f>IFERROR(MID(VLOOKUP($B148,Seqs!$A:$B,2,0),Q148,1),"")</f>
        <v/>
      </c>
      <c r="Q148" s="3" t="s">
        <v>129</v>
      </c>
      <c r="R148" s="3" t="str">
        <f>IFERROR(MID(VLOOKUP($B148,Seqs!$A:$B,2,0),S148,1),"")</f>
        <v/>
      </c>
      <c r="S148" s="3" t="s">
        <v>129</v>
      </c>
      <c r="T148" s="3" t="str">
        <f>IFERROR(MID(VLOOKUP($B148,Seqs!$A:$B,2,0),U148,1),"")</f>
        <v>G</v>
      </c>
      <c r="U148" s="3">
        <v>186</v>
      </c>
      <c r="V148" s="3" t="str">
        <f>IFERROR(MID(VLOOKUP($B148,Seqs!$A:$B,2,0),W148,1),"")</f>
        <v>L</v>
      </c>
      <c r="W148" s="3">
        <v>219</v>
      </c>
      <c r="X148" s="3" t="str">
        <f>IFERROR(MID(VLOOKUP($B148,Seqs!$A:$B,2,0),Y148,1),"")</f>
        <v/>
      </c>
      <c r="Y148" s="3" t="s">
        <v>129</v>
      </c>
      <c r="Z148" s="3" t="str">
        <f>IFERROR(MID(VLOOKUP($B148,Seqs!$A:$B,2,0),AA148,1),"")</f>
        <v/>
      </c>
      <c r="AA148" s="3" t="s">
        <v>129</v>
      </c>
      <c r="AB148" s="3" t="str">
        <f>IFERROR(MID(VLOOKUP($B148,Seqs!$A:$B,2,0),AC148,1),"")</f>
        <v>L</v>
      </c>
      <c r="AC148" s="3">
        <v>226</v>
      </c>
      <c r="AD148" s="3" t="str">
        <f>IFERROR(MID(VLOOKUP($B148,Seqs!$A:$B,2,0),AE148,1),"")</f>
        <v>D</v>
      </c>
      <c r="AE148" s="3">
        <v>254</v>
      </c>
      <c r="AF148" s="3" t="str">
        <f>IFERROR(MID(VLOOKUP($B148,Seqs!$A:$B,2,0),AG148,1),"")</f>
        <v>C</v>
      </c>
      <c r="AG148" s="3">
        <v>258</v>
      </c>
      <c r="AH148" s="3" t="str">
        <f>IFERROR(MID(VLOOKUP($B148,Seqs!$A:$B,2,0),AI148,1),"")</f>
        <v>F</v>
      </c>
      <c r="AI148" s="3">
        <v>260</v>
      </c>
      <c r="AJ148" s="3" t="str">
        <f>IFERROR(MID(VLOOKUP($B148,Seqs!$A:$B,2,0),AK148,1),"")</f>
        <v>T</v>
      </c>
      <c r="AK148" s="3">
        <v>268</v>
      </c>
      <c r="AL148" s="3" t="str">
        <f>IFERROR(MID(VLOOKUP($B148,Seqs!$A:$B,2,0),AM148,1),"")</f>
        <v>L</v>
      </c>
      <c r="AM148" s="3">
        <v>298</v>
      </c>
      <c r="AN148" s="3" t="str">
        <f>IFERROR(MID(VLOOKUP($B148,Seqs!$A:$B,2,0),AO148,1),"")</f>
        <v>S</v>
      </c>
      <c r="AO148" s="3">
        <v>304</v>
      </c>
      <c r="AP148" s="3" t="str">
        <f>IFERROR(MID(VLOOKUP($B148,Seqs!$A:$B,2,0),AQ148,1),"")</f>
        <v>V</v>
      </c>
      <c r="AQ148" s="3">
        <v>332</v>
      </c>
      <c r="AR148" s="3" t="str">
        <f>IFERROR(MID(VLOOKUP($B148,Seqs!$A:$B,2,0),AS148,1),"")</f>
        <v>V</v>
      </c>
      <c r="AS148" s="3">
        <v>339</v>
      </c>
      <c r="AT148" s="3" t="str">
        <f>IFERROR(MID(VLOOKUP($B148,Seqs!$A:$B,2,0),AU148,1),"")</f>
        <v>F</v>
      </c>
      <c r="AU148" s="3">
        <v>362</v>
      </c>
      <c r="AV148" s="3" t="str">
        <f>IFERROR(MID(VLOOKUP($B148,Seqs!$A:$B,2,0),AW148,1),"")</f>
        <v/>
      </c>
      <c r="AW148" s="3" t="s">
        <v>129</v>
      </c>
      <c r="AX148" s="3" t="str">
        <f>IFERROR(MID(VLOOKUP($B148,Seqs!$A:$B,2,0),AY148,1),"")</f>
        <v/>
      </c>
      <c r="AY148" s="3" t="s">
        <v>129</v>
      </c>
      <c r="BA148" s="124" t="str">
        <f>VLOOKUP(B148,Classification!A:D,2,0)</f>
        <v>B1</v>
      </c>
      <c r="BC148" s="1"/>
      <c r="BD148" s="35" t="s">
        <v>1329</v>
      </c>
      <c r="BE148" s="57">
        <f t="shared" si="113"/>
        <v>217</v>
      </c>
      <c r="BF148" s="63" t="b">
        <f t="shared" si="114"/>
        <v>1</v>
      </c>
      <c r="BG148" s="116" t="s">
        <v>1513</v>
      </c>
      <c r="BH148" s="102" t="s">
        <v>1513</v>
      </c>
      <c r="BI148" s="102" t="s">
        <v>1513</v>
      </c>
      <c r="BJ148" s="102" t="s">
        <v>1513</v>
      </c>
      <c r="BK148" s="102" t="s">
        <v>1513</v>
      </c>
      <c r="BL148" s="102" t="s">
        <v>1513</v>
      </c>
      <c r="BM148" s="102" t="s">
        <v>1513</v>
      </c>
      <c r="BN148" s="102" t="s">
        <v>1513</v>
      </c>
      <c r="BO148" s="102" t="s">
        <v>1513</v>
      </c>
      <c r="BP148" s="102" t="s">
        <v>1513</v>
      </c>
      <c r="BQ148" s="102" t="s">
        <v>1513</v>
      </c>
      <c r="BR148" s="102" t="s">
        <v>1513</v>
      </c>
      <c r="BS148" s="116">
        <f t="shared" si="115"/>
        <v>112</v>
      </c>
      <c r="BT148" s="117">
        <f t="shared" si="116"/>
        <v>145</v>
      </c>
      <c r="BU148" s="118">
        <f t="shared" si="117"/>
        <v>149</v>
      </c>
      <c r="BV148" s="117" t="str">
        <f t="shared" si="118"/>
        <v>-</v>
      </c>
      <c r="BW148" s="118">
        <f t="shared" si="119"/>
        <v>186</v>
      </c>
      <c r="BX148" s="117" t="str">
        <f t="shared" si="120"/>
        <v>-</v>
      </c>
      <c r="BY148" s="118">
        <f t="shared" si="121"/>
        <v>226</v>
      </c>
      <c r="BZ148" s="117">
        <f t="shared" si="122"/>
        <v>258</v>
      </c>
      <c r="CA148" s="118">
        <f t="shared" si="123"/>
        <v>268</v>
      </c>
      <c r="CB148" s="117">
        <f t="shared" si="124"/>
        <v>304</v>
      </c>
      <c r="CC148" s="118">
        <f t="shared" si="125"/>
        <v>339</v>
      </c>
      <c r="CD148" s="117" t="str">
        <f t="shared" si="126"/>
        <v>-</v>
      </c>
      <c r="CE148" s="116">
        <f t="shared" si="127"/>
        <v>144</v>
      </c>
      <c r="CF148" s="117">
        <f t="shared" si="128"/>
        <v>148</v>
      </c>
      <c r="CG148" s="118">
        <f t="shared" si="129"/>
        <v>175</v>
      </c>
      <c r="CH148" s="118" t="str">
        <f t="shared" si="130"/>
        <v>-</v>
      </c>
      <c r="CI148" s="118">
        <f t="shared" si="131"/>
        <v>219</v>
      </c>
      <c r="CJ148" s="118" t="str">
        <f t="shared" si="132"/>
        <v>-</v>
      </c>
      <c r="CK148" s="118">
        <f t="shared" si="133"/>
        <v>254</v>
      </c>
      <c r="CL148" s="118">
        <f t="shared" si="134"/>
        <v>260</v>
      </c>
      <c r="CM148" s="118">
        <f t="shared" si="135"/>
        <v>298</v>
      </c>
      <c r="CN148" s="118">
        <f t="shared" si="136"/>
        <v>332</v>
      </c>
      <c r="CO148" s="118">
        <f t="shared" si="137"/>
        <v>362</v>
      </c>
      <c r="CP148" s="118" t="str">
        <f t="shared" si="138"/>
        <v>-</v>
      </c>
      <c r="CQ148" s="57">
        <f t="shared" si="139"/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</row>
    <row r="149" spans="1:1026" x14ac:dyDescent="0.2">
      <c r="A149" s="3" t="str">
        <f t="shared" si="112"/>
        <v>crfr1_human_4Z9G_dist</v>
      </c>
      <c r="B149" s="3" t="s">
        <v>213</v>
      </c>
      <c r="C149" s="3" t="s">
        <v>1380</v>
      </c>
      <c r="D149" s="3" t="str">
        <f>IFERROR(MID(VLOOKUP($B149,Seqs!$A:$B,2,0),E149,1),"")</f>
        <v>S</v>
      </c>
      <c r="E149" s="3">
        <v>112</v>
      </c>
      <c r="F149" s="3" t="str">
        <f>IFERROR(MID(VLOOKUP($B149,Seqs!$A:$B,2,0),G149,1),"")</f>
        <v>L</v>
      </c>
      <c r="G149" s="3">
        <v>144</v>
      </c>
      <c r="H149" s="3" t="str">
        <f>IFERROR(MID(VLOOKUP($B149,Seqs!$A:$B,2,0),I149,1),"")</f>
        <v>R</v>
      </c>
      <c r="I149" s="57">
        <v>145</v>
      </c>
      <c r="J149" s="3" t="str">
        <f>IFERROR(MID(VLOOKUP($B149,Seqs!$A:$B,2,0),K149,1),"")</f>
        <v>R</v>
      </c>
      <c r="K149" s="57">
        <v>148</v>
      </c>
      <c r="L149" s="3" t="str">
        <f>IFERROR(MID(VLOOKUP($B149,Seqs!$A:$B,2,0),M149,1),"")</f>
        <v>C</v>
      </c>
      <c r="M149" s="57">
        <v>149</v>
      </c>
      <c r="N149" s="3" t="str">
        <f>IFERROR(MID(VLOOKUP($B149,Seqs!$A:$B,2,0),O149,1),"")</f>
        <v>T</v>
      </c>
      <c r="O149" s="3">
        <v>175</v>
      </c>
      <c r="P149" s="3" t="str">
        <f>IFERROR(MID(VLOOKUP($B149,Seqs!$A:$B,2,0),Q149,1),"")</f>
        <v/>
      </c>
      <c r="Q149" s="3" t="s">
        <v>129</v>
      </c>
      <c r="R149" s="3" t="str">
        <f>IFERROR(MID(VLOOKUP($B149,Seqs!$A:$B,2,0),S149,1),"")</f>
        <v/>
      </c>
      <c r="S149" s="3" t="s">
        <v>129</v>
      </c>
      <c r="T149" s="3" t="str">
        <f>IFERROR(MID(VLOOKUP($B149,Seqs!$A:$B,2,0),U149,1),"")</f>
        <v>G</v>
      </c>
      <c r="U149" s="3">
        <v>186</v>
      </c>
      <c r="V149" s="3" t="str">
        <f>IFERROR(MID(VLOOKUP($B149,Seqs!$A:$B,2,0),W149,1),"")</f>
        <v>L</v>
      </c>
      <c r="W149" s="3">
        <v>219</v>
      </c>
      <c r="X149" s="3" t="str">
        <f>IFERROR(MID(VLOOKUP($B149,Seqs!$A:$B,2,0),Y149,1),"")</f>
        <v/>
      </c>
      <c r="Y149" s="3" t="s">
        <v>129</v>
      </c>
      <c r="Z149" s="3" t="str">
        <f>IFERROR(MID(VLOOKUP($B149,Seqs!$A:$B,2,0),AA149,1),"")</f>
        <v/>
      </c>
      <c r="AA149" s="3" t="s">
        <v>129</v>
      </c>
      <c r="AB149" s="3" t="str">
        <f>IFERROR(MID(VLOOKUP($B149,Seqs!$A:$B,2,0),AC149,1),"")</f>
        <v>L</v>
      </c>
      <c r="AC149" s="3">
        <v>226</v>
      </c>
      <c r="AD149" s="3" t="str">
        <f>IFERROR(MID(VLOOKUP($B149,Seqs!$A:$B,2,0),AE149,1),"")</f>
        <v>D</v>
      </c>
      <c r="AE149" s="3">
        <v>254</v>
      </c>
      <c r="AF149" s="3" t="str">
        <f>IFERROR(MID(VLOOKUP($B149,Seqs!$A:$B,2,0),AG149,1),"")</f>
        <v>C</v>
      </c>
      <c r="AG149" s="3">
        <v>258</v>
      </c>
      <c r="AH149" s="3" t="str">
        <f>IFERROR(MID(VLOOKUP($B149,Seqs!$A:$B,2,0),AI149,1),"")</f>
        <v>F</v>
      </c>
      <c r="AI149" s="3">
        <v>260</v>
      </c>
      <c r="AJ149" s="3" t="str">
        <f>IFERROR(MID(VLOOKUP($B149,Seqs!$A:$B,2,0),AK149,1),"")</f>
        <v>T</v>
      </c>
      <c r="AK149" s="3">
        <v>268</v>
      </c>
      <c r="AL149" s="3" t="str">
        <f>IFERROR(MID(VLOOKUP($B149,Seqs!$A:$B,2,0),AM149,1),"")</f>
        <v>L</v>
      </c>
      <c r="AM149" s="3">
        <v>298</v>
      </c>
      <c r="AN149" s="3" t="str">
        <f>IFERROR(MID(VLOOKUP($B149,Seqs!$A:$B,2,0),AO149,1),"")</f>
        <v>S</v>
      </c>
      <c r="AO149" s="3">
        <v>304</v>
      </c>
      <c r="AP149" s="3" t="str">
        <f>IFERROR(MID(VLOOKUP($B149,Seqs!$A:$B,2,0),AQ149,1),"")</f>
        <v>V</v>
      </c>
      <c r="AQ149" s="3">
        <v>332</v>
      </c>
      <c r="AR149" s="3" t="str">
        <f>IFERROR(MID(VLOOKUP($B149,Seqs!$A:$B,2,0),AS149,1),"")</f>
        <v>V</v>
      </c>
      <c r="AS149" s="3">
        <v>339</v>
      </c>
      <c r="AT149" s="3" t="str">
        <f>IFERROR(MID(VLOOKUP($B149,Seqs!$A:$B,2,0),AU149,1),"")</f>
        <v>E</v>
      </c>
      <c r="AU149" s="3">
        <v>369</v>
      </c>
      <c r="AV149" s="3" t="str">
        <f>IFERROR(MID(VLOOKUP($B149,Seqs!$A:$B,2,0),AW149,1),"")</f>
        <v/>
      </c>
      <c r="AW149" s="3" t="s">
        <v>129</v>
      </c>
      <c r="AX149" s="3" t="str">
        <f>IFERROR(MID(VLOOKUP($B149,Seqs!$A:$B,2,0),AY149,1),"")</f>
        <v/>
      </c>
      <c r="AY149" s="3" t="s">
        <v>129</v>
      </c>
      <c r="BA149" s="124" t="str">
        <f>VLOOKUP(B149,Classification!A:D,2,0)</f>
        <v>B1</v>
      </c>
      <c r="BC149" s="3" t="s">
        <v>1381</v>
      </c>
      <c r="BD149" s="5"/>
      <c r="BE149" s="57">
        <f t="shared" si="113"/>
        <v>224</v>
      </c>
      <c r="BF149" s="63" t="b">
        <f t="shared" si="114"/>
        <v>1</v>
      </c>
      <c r="BG149" s="116" t="s">
        <v>1513</v>
      </c>
      <c r="BH149" s="102" t="s">
        <v>1513</v>
      </c>
      <c r="BI149" s="102" t="s">
        <v>1513</v>
      </c>
      <c r="BJ149" s="102" t="s">
        <v>1513</v>
      </c>
      <c r="BK149" s="102" t="s">
        <v>1513</v>
      </c>
      <c r="BL149" s="102" t="s">
        <v>1513</v>
      </c>
      <c r="BM149" s="102" t="s">
        <v>1513</v>
      </c>
      <c r="BN149" s="102" t="s">
        <v>1513</v>
      </c>
      <c r="BO149" s="102" t="s">
        <v>1513</v>
      </c>
      <c r="BP149" s="102" t="s">
        <v>1513</v>
      </c>
      <c r="BQ149" s="102" t="s">
        <v>1513</v>
      </c>
      <c r="BR149" s="102" t="s">
        <v>1513</v>
      </c>
      <c r="BS149" s="116">
        <f t="shared" si="115"/>
        <v>112</v>
      </c>
      <c r="BT149" s="117">
        <f t="shared" si="116"/>
        <v>145</v>
      </c>
      <c r="BU149" s="118">
        <f t="shared" si="117"/>
        <v>149</v>
      </c>
      <c r="BV149" s="117" t="str">
        <f t="shared" si="118"/>
        <v>-</v>
      </c>
      <c r="BW149" s="118">
        <f t="shared" si="119"/>
        <v>186</v>
      </c>
      <c r="BX149" s="117" t="str">
        <f t="shared" si="120"/>
        <v>-</v>
      </c>
      <c r="BY149" s="118">
        <f t="shared" si="121"/>
        <v>226</v>
      </c>
      <c r="BZ149" s="117">
        <f t="shared" si="122"/>
        <v>258</v>
      </c>
      <c r="CA149" s="118">
        <f t="shared" si="123"/>
        <v>268</v>
      </c>
      <c r="CB149" s="117">
        <f t="shared" si="124"/>
        <v>304</v>
      </c>
      <c r="CC149" s="118">
        <f t="shared" si="125"/>
        <v>339</v>
      </c>
      <c r="CD149" s="117" t="str">
        <f t="shared" si="126"/>
        <v>-</v>
      </c>
      <c r="CE149" s="116">
        <f t="shared" si="127"/>
        <v>144</v>
      </c>
      <c r="CF149" s="117">
        <f t="shared" si="128"/>
        <v>148</v>
      </c>
      <c r="CG149" s="118">
        <f t="shared" si="129"/>
        <v>175</v>
      </c>
      <c r="CH149" s="118" t="str">
        <f t="shared" si="130"/>
        <v>-</v>
      </c>
      <c r="CI149" s="118">
        <f t="shared" si="131"/>
        <v>219</v>
      </c>
      <c r="CJ149" s="118" t="str">
        <f t="shared" si="132"/>
        <v>-</v>
      </c>
      <c r="CK149" s="118">
        <f t="shared" si="133"/>
        <v>254</v>
      </c>
      <c r="CL149" s="118">
        <f t="shared" si="134"/>
        <v>260</v>
      </c>
      <c r="CM149" s="118">
        <f t="shared" si="135"/>
        <v>298</v>
      </c>
      <c r="CN149" s="118">
        <f t="shared" si="136"/>
        <v>332</v>
      </c>
      <c r="CO149" s="118">
        <f t="shared" si="137"/>
        <v>369</v>
      </c>
      <c r="CP149" s="118" t="str">
        <f t="shared" si="138"/>
        <v>-</v>
      </c>
      <c r="CQ149" s="57">
        <f t="shared" si="139"/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</row>
    <row r="150" spans="1:1026" x14ac:dyDescent="0.2">
      <c r="A150" s="3" t="str">
        <f t="shared" si="112"/>
        <v>glr_human__wt</v>
      </c>
      <c r="B150" s="3" t="s">
        <v>206</v>
      </c>
      <c r="C150" s="3" t="s">
        <v>293</v>
      </c>
      <c r="D150" s="3" t="str">
        <f>IFERROR(MID(VLOOKUP($B150,Seqs!$A:$B,2,0),E150,1),"")</f>
        <v>G</v>
      </c>
      <c r="E150" s="3">
        <v>125</v>
      </c>
      <c r="F150" s="3" t="str">
        <f>IFERROR(MID(VLOOKUP($B150,Seqs!$A:$B,2,0),G150,1),"")</f>
        <v>L</v>
      </c>
      <c r="G150" s="3">
        <v>166</v>
      </c>
      <c r="H150" s="3" t="str">
        <f>IFERROR(MID(VLOOKUP($B150,Seqs!$A:$B,2,0),I150,1),"")</f>
        <v>S</v>
      </c>
      <c r="I150" s="57">
        <v>167</v>
      </c>
      <c r="J150" s="3" t="str">
        <f>IFERROR(MID(VLOOKUP($B150,Seqs!$A:$B,2,0),K150,1),"")</f>
        <v>H</v>
      </c>
      <c r="K150" s="57">
        <v>170</v>
      </c>
      <c r="L150" s="3" t="str">
        <f>IFERROR(MID(VLOOKUP($B150,Seqs!$A:$B,2,0),M150,1),"")</f>
        <v>C</v>
      </c>
      <c r="M150" s="57">
        <v>171</v>
      </c>
      <c r="N150" s="3" t="str">
        <f>IFERROR(MID(VLOOKUP($B150,Seqs!$A:$B,2,0),O150,1),"")</f>
        <v>R</v>
      </c>
      <c r="O150" s="3">
        <v>199</v>
      </c>
      <c r="P150" s="3" t="str">
        <f>IFERROR(MID(VLOOKUP($B150,Seqs!$A:$B,2,0),Q150,1),"")</f>
        <v/>
      </c>
      <c r="Q150" s="3" t="s">
        <v>129</v>
      </c>
      <c r="R150" s="3" t="str">
        <f>IFERROR(MID(VLOOKUP($B150,Seqs!$A:$B,2,0),S150,1),"")</f>
        <v/>
      </c>
      <c r="S150" s="3" t="s">
        <v>129</v>
      </c>
      <c r="T150" s="3" t="str">
        <f>IFERROR(MID(VLOOKUP($B150,Seqs!$A:$B,2,0),U150,1),"")</f>
        <v>S</v>
      </c>
      <c r="U150" s="3">
        <v>217</v>
      </c>
      <c r="V150" s="3" t="str">
        <f>IFERROR(MID(VLOOKUP($B150,Seqs!$A:$B,2,0),W150,1),"")</f>
        <v>L</v>
      </c>
      <c r="W150" s="3">
        <v>255</v>
      </c>
      <c r="X150" s="3" t="str">
        <f>IFERROR(MID(VLOOKUP($B150,Seqs!$A:$B,2,0),Y150,1),"")</f>
        <v/>
      </c>
      <c r="Y150" s="3" t="s">
        <v>129</v>
      </c>
      <c r="Z150" s="3" t="str">
        <f>IFERROR(MID(VLOOKUP($B150,Seqs!$A:$B,2,0),AA150,1),"")</f>
        <v/>
      </c>
      <c r="AA150" s="3" t="s">
        <v>129</v>
      </c>
      <c r="AB150" s="3" t="str">
        <f>IFERROR(MID(VLOOKUP($B150,Seqs!$A:$B,2,0),AC150,1),"")</f>
        <v>S</v>
      </c>
      <c r="AC150" s="3">
        <v>262</v>
      </c>
      <c r="AD150" s="3" t="str">
        <f>IFERROR(MID(VLOOKUP($B150,Seqs!$A:$B,2,0),AE150,1),"")</f>
        <v>E</v>
      </c>
      <c r="AE150" s="3">
        <v>290</v>
      </c>
      <c r="AF150" s="3" t="str">
        <f>IFERROR(MID(VLOOKUP($B150,Seqs!$A:$B,2,0),AG150,1),"")</f>
        <v>C</v>
      </c>
      <c r="AG150" s="3">
        <v>294</v>
      </c>
      <c r="AH150" s="3" t="str">
        <f>IFERROR(MID(VLOOKUP($B150,Seqs!$A:$B,2,0),AI150,1),"")</f>
        <v>T</v>
      </c>
      <c r="AI150" s="3">
        <v>296</v>
      </c>
      <c r="AJ150" s="3" t="str">
        <f>IFERROR(MID(VLOOKUP($B150,Seqs!$A:$B,2,0),AK150,1),"")</f>
        <v>N</v>
      </c>
      <c r="AK150" s="3">
        <v>300</v>
      </c>
      <c r="AL150" s="3" t="str">
        <f>IFERROR(MID(VLOOKUP($B150,Seqs!$A:$B,2,0),AM150,1),"")</f>
        <v>A</v>
      </c>
      <c r="AM150" s="3">
        <v>335</v>
      </c>
      <c r="AN150" s="3" t="str">
        <f>IFERROR(MID(VLOOKUP($B150,Seqs!$A:$B,2,0),AO150,1),"")</f>
        <v>Y</v>
      </c>
      <c r="AO150" s="3">
        <v>343</v>
      </c>
      <c r="AP150" s="3" t="str">
        <f>IFERROR(MID(VLOOKUP($B150,Seqs!$A:$B,2,0),AQ150,1),"")</f>
        <v>F</v>
      </c>
      <c r="AQ150" s="3">
        <v>367</v>
      </c>
      <c r="AR150" s="3" t="str">
        <f>IFERROR(MID(VLOOKUP($B150,Seqs!$A:$B,2,0),AS150,1),"")</f>
        <v>Q</v>
      </c>
      <c r="AS150" s="3">
        <v>374</v>
      </c>
      <c r="AT150" s="3" t="str">
        <f>IFERROR(MID(VLOOKUP($B150,Seqs!$A:$B,2,0),AU150,1),"")</f>
        <v>L</v>
      </c>
      <c r="AU150" s="3">
        <v>403</v>
      </c>
      <c r="AV150" s="3" t="str">
        <f>IFERROR(MID(VLOOKUP($B150,Seqs!$A:$B,2,0),AW150,1),"")</f>
        <v>N</v>
      </c>
      <c r="AW150" s="3">
        <v>404</v>
      </c>
      <c r="AX150" s="3" t="str">
        <f>IFERROR(MID(VLOOKUP($B150,Seqs!$A:$B,2,0),AY150,1),"")</f>
        <v>N</v>
      </c>
      <c r="AY150" s="3">
        <v>429</v>
      </c>
      <c r="BA150" s="124" t="str">
        <f>VLOOKUP(B150,Classification!A:D,2,0)</f>
        <v>B1</v>
      </c>
      <c r="BC150" s="1"/>
      <c r="BD150" s="72" t="e">
        <f>S150-Q150+1</f>
        <v>#VALUE!</v>
      </c>
      <c r="BE150" s="57">
        <f t="shared" si="113"/>
        <v>265</v>
      </c>
      <c r="BF150" s="63" t="b">
        <f t="shared" si="114"/>
        <v>1</v>
      </c>
      <c r="BG150" s="116" t="s">
        <v>1513</v>
      </c>
      <c r="BH150" s="102" t="s">
        <v>1513</v>
      </c>
      <c r="BI150" s="102" t="s">
        <v>1513</v>
      </c>
      <c r="BJ150" s="102" t="s">
        <v>1513</v>
      </c>
      <c r="BK150" s="102" t="s">
        <v>1513</v>
      </c>
      <c r="BL150" s="102" t="s">
        <v>1513</v>
      </c>
      <c r="BM150" s="102" t="s">
        <v>1513</v>
      </c>
      <c r="BN150" s="102" t="s">
        <v>1513</v>
      </c>
      <c r="BO150" s="102" t="s">
        <v>1513</v>
      </c>
      <c r="BP150" s="102" t="s">
        <v>1513</v>
      </c>
      <c r="BQ150" s="102" t="s">
        <v>1513</v>
      </c>
      <c r="BR150" s="102" t="s">
        <v>1513</v>
      </c>
      <c r="BS150" s="116">
        <f t="shared" si="115"/>
        <v>125</v>
      </c>
      <c r="BT150" s="117">
        <f t="shared" si="116"/>
        <v>167</v>
      </c>
      <c r="BU150" s="118">
        <f t="shared" si="117"/>
        <v>171</v>
      </c>
      <c r="BV150" s="117" t="str">
        <f t="shared" si="118"/>
        <v>-</v>
      </c>
      <c r="BW150" s="118">
        <f t="shared" si="119"/>
        <v>217</v>
      </c>
      <c r="BX150" s="117" t="str">
        <f t="shared" si="120"/>
        <v>-</v>
      </c>
      <c r="BY150" s="118">
        <f t="shared" si="121"/>
        <v>262</v>
      </c>
      <c r="BZ150" s="117">
        <f t="shared" si="122"/>
        <v>294</v>
      </c>
      <c r="CA150" s="118">
        <f t="shared" si="123"/>
        <v>300</v>
      </c>
      <c r="CB150" s="117">
        <f t="shared" si="124"/>
        <v>343</v>
      </c>
      <c r="CC150" s="118">
        <f t="shared" si="125"/>
        <v>374</v>
      </c>
      <c r="CD150" s="117">
        <f t="shared" si="126"/>
        <v>404</v>
      </c>
      <c r="CE150" s="116">
        <f t="shared" si="127"/>
        <v>166</v>
      </c>
      <c r="CF150" s="117">
        <f t="shared" si="128"/>
        <v>170</v>
      </c>
      <c r="CG150" s="118">
        <f t="shared" si="129"/>
        <v>199</v>
      </c>
      <c r="CH150" s="118" t="str">
        <f t="shared" si="130"/>
        <v>-</v>
      </c>
      <c r="CI150" s="118">
        <f t="shared" si="131"/>
        <v>255</v>
      </c>
      <c r="CJ150" s="118" t="str">
        <f t="shared" si="132"/>
        <v>-</v>
      </c>
      <c r="CK150" s="118">
        <f t="shared" si="133"/>
        <v>290</v>
      </c>
      <c r="CL150" s="118">
        <f t="shared" si="134"/>
        <v>296</v>
      </c>
      <c r="CM150" s="118">
        <f t="shared" si="135"/>
        <v>335</v>
      </c>
      <c r="CN150" s="118">
        <f t="shared" si="136"/>
        <v>367</v>
      </c>
      <c r="CO150" s="118">
        <f t="shared" si="137"/>
        <v>403</v>
      </c>
      <c r="CP150" s="118">
        <f t="shared" si="138"/>
        <v>429</v>
      </c>
      <c r="CQ150" s="57">
        <f t="shared" si="139"/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</row>
    <row r="151" spans="1:1026" x14ac:dyDescent="0.2">
      <c r="A151" s="3" t="str">
        <f t="shared" si="112"/>
        <v>glr_human_4L6R</v>
      </c>
      <c r="B151" s="3" t="s">
        <v>206</v>
      </c>
      <c r="C151" s="3" t="s">
        <v>239</v>
      </c>
      <c r="D151" s="3" t="str">
        <f>IFERROR(MID(VLOOKUP($B151,Seqs!$A:$B,2,0),E151,1),"")</f>
        <v>G</v>
      </c>
      <c r="E151" s="3">
        <v>125</v>
      </c>
      <c r="F151" s="3" t="str">
        <f>IFERROR(MID(VLOOKUP($B151,Seqs!$A:$B,2,0),G151,1),"")</f>
        <v>G</v>
      </c>
      <c r="G151" s="3">
        <v>164</v>
      </c>
      <c r="H151" s="3" t="str">
        <f>IFERROR(MID(VLOOKUP($B151,Seqs!$A:$B,2,0),I151,1),"")</f>
        <v>S</v>
      </c>
      <c r="I151" s="57">
        <v>167</v>
      </c>
      <c r="J151" s="3" t="str">
        <f>IFERROR(MID(VLOOKUP($B151,Seqs!$A:$B,2,0),K151,1),"")</f>
        <v>H</v>
      </c>
      <c r="K151" s="57">
        <v>170</v>
      </c>
      <c r="L151" s="3" t="str">
        <f>IFERROR(MID(VLOOKUP($B151,Seqs!$A:$B,2,0),M151,1),"")</f>
        <v>C</v>
      </c>
      <c r="M151" s="57">
        <v>171</v>
      </c>
      <c r="N151" s="3" t="str">
        <f>IFERROR(MID(VLOOKUP($B151,Seqs!$A:$B,2,0),O151,1),"")</f>
        <v>R</v>
      </c>
      <c r="O151" s="3">
        <v>199</v>
      </c>
      <c r="P151" s="3" t="str">
        <f>IFERROR(MID(VLOOKUP($B151,Seqs!$A:$B,2,0),Q151,1),"")</f>
        <v/>
      </c>
      <c r="Q151" s="3" t="s">
        <v>129</v>
      </c>
      <c r="R151" s="3" t="str">
        <f>IFERROR(MID(VLOOKUP($B151,Seqs!$A:$B,2,0),S151,1),"")</f>
        <v/>
      </c>
      <c r="S151" s="3" t="s">
        <v>129</v>
      </c>
      <c r="T151" s="3" t="str">
        <f>IFERROR(MID(VLOOKUP($B151,Seqs!$A:$B,2,0),U151,1),"")</f>
        <v>S</v>
      </c>
      <c r="U151" s="3">
        <v>217</v>
      </c>
      <c r="V151" s="3" t="str">
        <f>IFERROR(MID(VLOOKUP($B151,Seqs!$A:$B,2,0),W151,1),"")</f>
        <v>L</v>
      </c>
      <c r="W151" s="3">
        <v>255</v>
      </c>
      <c r="X151" s="3" t="str">
        <f>IFERROR(MID(VLOOKUP($B151,Seqs!$A:$B,2,0),Y151,1),"")</f>
        <v/>
      </c>
      <c r="Y151" s="3" t="s">
        <v>129</v>
      </c>
      <c r="Z151" s="3" t="str">
        <f>IFERROR(MID(VLOOKUP($B151,Seqs!$A:$B,2,0),AA151,1),"")</f>
        <v/>
      </c>
      <c r="AA151" s="3" t="s">
        <v>129</v>
      </c>
      <c r="AB151" s="3" t="str">
        <f>IFERROR(MID(VLOOKUP($B151,Seqs!$A:$B,2,0),AC151,1),"")</f>
        <v>A</v>
      </c>
      <c r="AC151" s="3">
        <v>274</v>
      </c>
      <c r="AD151" s="3" t="str">
        <f>IFERROR(MID(VLOOKUP($B151,Seqs!$A:$B,2,0),AE151,1),"")</f>
        <v>E</v>
      </c>
      <c r="AE151" s="3">
        <v>290</v>
      </c>
      <c r="AF151" s="3" t="str">
        <f>IFERROR(MID(VLOOKUP($B151,Seqs!$A:$B,2,0),AG151,1),"")</f>
        <v>C</v>
      </c>
      <c r="AG151" s="3">
        <v>294</v>
      </c>
      <c r="AH151" s="3" t="str">
        <f>IFERROR(MID(VLOOKUP($B151,Seqs!$A:$B,2,0),AI151,1),"")</f>
        <v>T</v>
      </c>
      <c r="AI151" s="3">
        <v>296</v>
      </c>
      <c r="AJ151" s="3" t="str">
        <f>IFERROR(MID(VLOOKUP($B151,Seqs!$A:$B,2,0),AK151,1),"")</f>
        <v>N</v>
      </c>
      <c r="AK151" s="3">
        <v>300</v>
      </c>
      <c r="AL151" s="3" t="str">
        <f>IFERROR(MID(VLOOKUP($B151,Seqs!$A:$B,2,0),AM151,1),"")</f>
        <v>A</v>
      </c>
      <c r="AM151" s="3">
        <v>335</v>
      </c>
      <c r="AN151" s="3" t="str">
        <f>IFERROR(MID(VLOOKUP($B151,Seqs!$A:$B,2,0),AO151,1),"")</f>
        <v>Y</v>
      </c>
      <c r="AO151" s="3">
        <v>343</v>
      </c>
      <c r="AP151" s="3" t="str">
        <f>IFERROR(MID(VLOOKUP($B151,Seqs!$A:$B,2,0),AQ151,1),"")</f>
        <v>F</v>
      </c>
      <c r="AQ151" s="3">
        <v>367</v>
      </c>
      <c r="AR151" s="3" t="str">
        <f>IFERROR(MID(VLOOKUP($B151,Seqs!$A:$B,2,0),AS151,1),"")</f>
        <v>Q</v>
      </c>
      <c r="AS151" s="3">
        <v>374</v>
      </c>
      <c r="AT151" s="3" t="str">
        <f>IFERROR(MID(VLOOKUP($B151,Seqs!$A:$B,2,0),AU151,1),"")</f>
        <v>L</v>
      </c>
      <c r="AU151" s="3">
        <v>403</v>
      </c>
      <c r="AV151" s="3" t="str">
        <f>IFERROR(MID(VLOOKUP($B151,Seqs!$A:$B,2,0),AW151,1),"")</f>
        <v>N</v>
      </c>
      <c r="AW151" s="3">
        <v>404</v>
      </c>
      <c r="AX151" s="3" t="str">
        <f>IFERROR(MID(VLOOKUP($B151,Seqs!$A:$B,2,0),AY151,1),"")</f>
        <v>N</v>
      </c>
      <c r="AY151" s="3">
        <v>429</v>
      </c>
      <c r="BA151" s="124" t="str">
        <f>VLOOKUP(B151,Classification!A:D,2,0)</f>
        <v>B1</v>
      </c>
      <c r="BC151" s="1"/>
      <c r="BD151" s="2" t="s">
        <v>1314</v>
      </c>
      <c r="BE151" s="57">
        <f t="shared" si="113"/>
        <v>251</v>
      </c>
      <c r="BF151" s="63" t="b">
        <f t="shared" si="114"/>
        <v>1</v>
      </c>
      <c r="BG151" s="116" t="s">
        <v>1513</v>
      </c>
      <c r="BH151" s="102" t="s">
        <v>1513</v>
      </c>
      <c r="BI151" s="102" t="s">
        <v>1513</v>
      </c>
      <c r="BJ151" s="102" t="s">
        <v>1513</v>
      </c>
      <c r="BK151" s="102" t="s">
        <v>1513</v>
      </c>
      <c r="BL151" s="102" t="s">
        <v>1513</v>
      </c>
      <c r="BM151" s="102" t="s">
        <v>1513</v>
      </c>
      <c r="BN151" s="102" t="s">
        <v>1513</v>
      </c>
      <c r="BO151" s="102" t="s">
        <v>1513</v>
      </c>
      <c r="BP151" s="102" t="s">
        <v>1513</v>
      </c>
      <c r="BQ151" s="102" t="s">
        <v>1513</v>
      </c>
      <c r="BR151" s="102" t="s">
        <v>1513</v>
      </c>
      <c r="BS151" s="116">
        <f t="shared" si="115"/>
        <v>125</v>
      </c>
      <c r="BT151" s="117">
        <f t="shared" si="116"/>
        <v>167</v>
      </c>
      <c r="BU151" s="118">
        <f t="shared" si="117"/>
        <v>171</v>
      </c>
      <c r="BV151" s="117" t="str">
        <f t="shared" si="118"/>
        <v>-</v>
      </c>
      <c r="BW151" s="118">
        <f t="shared" si="119"/>
        <v>217</v>
      </c>
      <c r="BX151" s="117" t="str">
        <f t="shared" si="120"/>
        <v>-</v>
      </c>
      <c r="BY151" s="118">
        <f t="shared" si="121"/>
        <v>274</v>
      </c>
      <c r="BZ151" s="117">
        <f t="shared" si="122"/>
        <v>294</v>
      </c>
      <c r="CA151" s="118">
        <f t="shared" si="123"/>
        <v>300</v>
      </c>
      <c r="CB151" s="117">
        <f t="shared" si="124"/>
        <v>343</v>
      </c>
      <c r="CC151" s="118">
        <f t="shared" si="125"/>
        <v>374</v>
      </c>
      <c r="CD151" s="117">
        <f t="shared" si="126"/>
        <v>404</v>
      </c>
      <c r="CE151" s="116">
        <f t="shared" si="127"/>
        <v>164</v>
      </c>
      <c r="CF151" s="117">
        <f t="shared" si="128"/>
        <v>170</v>
      </c>
      <c r="CG151" s="118">
        <f t="shared" si="129"/>
        <v>199</v>
      </c>
      <c r="CH151" s="118" t="str">
        <f t="shared" si="130"/>
        <v>-</v>
      </c>
      <c r="CI151" s="118">
        <f t="shared" si="131"/>
        <v>255</v>
      </c>
      <c r="CJ151" s="118" t="str">
        <f t="shared" si="132"/>
        <v>-</v>
      </c>
      <c r="CK151" s="118">
        <f t="shared" si="133"/>
        <v>290</v>
      </c>
      <c r="CL151" s="118">
        <f t="shared" si="134"/>
        <v>296</v>
      </c>
      <c r="CM151" s="118">
        <f t="shared" si="135"/>
        <v>335</v>
      </c>
      <c r="CN151" s="118">
        <f t="shared" si="136"/>
        <v>367</v>
      </c>
      <c r="CO151" s="118">
        <f t="shared" si="137"/>
        <v>403</v>
      </c>
      <c r="CP151" s="118">
        <f t="shared" si="138"/>
        <v>429</v>
      </c>
      <c r="CQ151" s="57">
        <f t="shared" si="139"/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</row>
    <row r="152" spans="1:1026" x14ac:dyDescent="0.2">
      <c r="A152" s="3" t="str">
        <f t="shared" ref="A152:A167" si="140">CONCATENATE(B152,"_",C152)</f>
        <v>glr_human_4L6R_dist</v>
      </c>
      <c r="B152" s="3" t="s">
        <v>206</v>
      </c>
      <c r="C152" s="3" t="s">
        <v>1502</v>
      </c>
      <c r="D152" s="3" t="str">
        <f>IFERROR(MID(VLOOKUP($B152,Seqs!$A:$B,2,0),E152,1),"")</f>
        <v>G</v>
      </c>
      <c r="E152" s="3">
        <v>125</v>
      </c>
      <c r="F152" s="3" t="str">
        <f>IFERROR(MID(VLOOKUP($B152,Seqs!$A:$B,2,0),G152,1),"")</f>
        <v>G</v>
      </c>
      <c r="G152" s="3">
        <v>164</v>
      </c>
      <c r="H152" s="3" t="str">
        <f>IFERROR(MID(VLOOKUP($B152,Seqs!$A:$B,2,0),I152,1),"")</f>
        <v>S</v>
      </c>
      <c r="I152" s="57">
        <v>167</v>
      </c>
      <c r="J152" s="3" t="str">
        <f>IFERROR(MID(VLOOKUP($B152,Seqs!$A:$B,2,0),K152,1),"")</f>
        <v>H</v>
      </c>
      <c r="K152" s="57">
        <v>170</v>
      </c>
      <c r="L152" s="3" t="str">
        <f>IFERROR(MID(VLOOKUP($B152,Seqs!$A:$B,2,0),M152,1),"")</f>
        <v>C</v>
      </c>
      <c r="M152" s="57">
        <v>171</v>
      </c>
      <c r="N152" s="3" t="str">
        <f>IFERROR(MID(VLOOKUP($B152,Seqs!$A:$B,2,0),O152,1),"")</f>
        <v>R</v>
      </c>
      <c r="O152" s="3">
        <v>199</v>
      </c>
      <c r="P152" s="3" t="str">
        <f>IFERROR(MID(VLOOKUP($B152,Seqs!$A:$B,2,0),Q152,1),"")</f>
        <v/>
      </c>
      <c r="Q152" s="3" t="s">
        <v>129</v>
      </c>
      <c r="R152" s="3" t="str">
        <f>IFERROR(MID(VLOOKUP($B152,Seqs!$A:$B,2,0),S152,1),"")</f>
        <v/>
      </c>
      <c r="S152" s="3" t="s">
        <v>129</v>
      </c>
      <c r="T152" s="3" t="str">
        <f>IFERROR(MID(VLOOKUP($B152,Seqs!$A:$B,2,0),U152,1),"")</f>
        <v>S</v>
      </c>
      <c r="U152" s="3">
        <v>217</v>
      </c>
      <c r="V152" s="3" t="str">
        <f>IFERROR(MID(VLOOKUP($B152,Seqs!$A:$B,2,0),W152,1),"")</f>
        <v>L</v>
      </c>
      <c r="W152" s="3">
        <v>255</v>
      </c>
      <c r="X152" s="3" t="str">
        <f>IFERROR(MID(VLOOKUP($B152,Seqs!$A:$B,2,0),Y152,1),"")</f>
        <v/>
      </c>
      <c r="Y152" s="3" t="s">
        <v>129</v>
      </c>
      <c r="Z152" s="3" t="str">
        <f>IFERROR(MID(VLOOKUP($B152,Seqs!$A:$B,2,0),AA152,1),"")</f>
        <v/>
      </c>
      <c r="AA152" s="3" t="s">
        <v>129</v>
      </c>
      <c r="AB152" s="3" t="str">
        <f>IFERROR(MID(VLOOKUP($B152,Seqs!$A:$B,2,0),AC152,1),"")</f>
        <v>S</v>
      </c>
      <c r="AC152" s="3">
        <v>262</v>
      </c>
      <c r="AD152" s="3" t="str">
        <f>IFERROR(MID(VLOOKUP($B152,Seqs!$A:$B,2,0),AE152,1),"")</f>
        <v>E</v>
      </c>
      <c r="AE152" s="3">
        <v>290</v>
      </c>
      <c r="AF152" s="3" t="str">
        <f>IFERROR(MID(VLOOKUP($B152,Seqs!$A:$B,2,0),AG152,1),"")</f>
        <v>C</v>
      </c>
      <c r="AG152" s="3">
        <v>294</v>
      </c>
      <c r="AH152" s="3" t="str">
        <f>IFERROR(MID(VLOOKUP($B152,Seqs!$A:$B,2,0),AI152,1),"")</f>
        <v>T</v>
      </c>
      <c r="AI152" s="3">
        <v>296</v>
      </c>
      <c r="AJ152" s="3" t="str">
        <f>IFERROR(MID(VLOOKUP($B152,Seqs!$A:$B,2,0),AK152,1),"")</f>
        <v>N</v>
      </c>
      <c r="AK152" s="3">
        <v>300</v>
      </c>
      <c r="AL152" s="3" t="str">
        <f>IFERROR(MID(VLOOKUP($B152,Seqs!$A:$B,2,0),AM152,1),"")</f>
        <v>A</v>
      </c>
      <c r="AM152" s="3">
        <v>335</v>
      </c>
      <c r="AN152" s="3" t="str">
        <f>IFERROR(MID(VLOOKUP($B152,Seqs!$A:$B,2,0),AO152,1),"")</f>
        <v>Y</v>
      </c>
      <c r="AO152" s="3">
        <v>343</v>
      </c>
      <c r="AP152" s="3" t="str">
        <f>IFERROR(MID(VLOOKUP($B152,Seqs!$A:$B,2,0),AQ152,1),"")</f>
        <v>F</v>
      </c>
      <c r="AQ152" s="3">
        <v>367</v>
      </c>
      <c r="AR152" s="3" t="str">
        <f>IFERROR(MID(VLOOKUP($B152,Seqs!$A:$B,2,0),AS152,1),"")</f>
        <v>Q</v>
      </c>
      <c r="AS152" s="3">
        <v>374</v>
      </c>
      <c r="AT152" s="3" t="str">
        <f>IFERROR(MID(VLOOKUP($B152,Seqs!$A:$B,2,0),AU152,1),"")</f>
        <v>L</v>
      </c>
      <c r="AU152" s="3">
        <v>403</v>
      </c>
      <c r="AV152" s="3" t="str">
        <f>IFERROR(MID(VLOOKUP($B152,Seqs!$A:$B,2,0),AW152,1),"")</f>
        <v>N</v>
      </c>
      <c r="AW152" s="3">
        <v>404</v>
      </c>
      <c r="AX152" s="3" t="str">
        <f>IFERROR(MID(VLOOKUP($B152,Seqs!$A:$B,2,0),AY152,1),"")</f>
        <v>N</v>
      </c>
      <c r="AY152" s="3">
        <v>429</v>
      </c>
      <c r="BA152" s="124" t="str">
        <f>VLOOKUP(B152,Classification!A:D,2,0)</f>
        <v>B1</v>
      </c>
      <c r="BC152" s="1"/>
      <c r="BD152" s="35" t="s">
        <v>1314</v>
      </c>
      <c r="BE152" s="57">
        <f t="shared" ref="BE152:BE167" si="141">_xlfn.AGGREGATE(9,6,CE152:CP152)-_xlfn.AGGREGATE(9,6,BS152:CD152)+12</f>
        <v>263</v>
      </c>
      <c r="BF152" s="63" t="b">
        <f t="shared" ref="BF152:BF167" si="142"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G152" s="116" t="s">
        <v>1513</v>
      </c>
      <c r="BH152" s="102" t="s">
        <v>1513</v>
      </c>
      <c r="BI152" s="102" t="s">
        <v>1513</v>
      </c>
      <c r="BJ152" s="102" t="s">
        <v>1513</v>
      </c>
      <c r="BK152" s="102" t="s">
        <v>1513</v>
      </c>
      <c r="BL152" s="102" t="s">
        <v>1513</v>
      </c>
      <c r="BM152" s="102" t="s">
        <v>1513</v>
      </c>
      <c r="BN152" s="102" t="s">
        <v>1513</v>
      </c>
      <c r="BO152" s="102" t="s">
        <v>1513</v>
      </c>
      <c r="BP152" s="102" t="s">
        <v>1513</v>
      </c>
      <c r="BQ152" s="102" t="s">
        <v>1513</v>
      </c>
      <c r="BR152" s="102" t="s">
        <v>1513</v>
      </c>
      <c r="BS152" s="116">
        <f t="shared" ref="BS152:BS167" si="143">E152</f>
        <v>125</v>
      </c>
      <c r="BT152" s="117">
        <f t="shared" ref="BT152:BT167" si="144">I152</f>
        <v>167</v>
      </c>
      <c r="BU152" s="118">
        <f t="shared" ref="BU152:BU167" si="145">M152</f>
        <v>171</v>
      </c>
      <c r="BV152" s="117" t="str">
        <f t="shared" ref="BV152:BV167" si="146">Q152</f>
        <v>-</v>
      </c>
      <c r="BW152" s="118">
        <f t="shared" ref="BW152:BW167" si="147">U152</f>
        <v>217</v>
      </c>
      <c r="BX152" s="117" t="str">
        <f t="shared" ref="BX152:BX167" si="148">Y152</f>
        <v>-</v>
      </c>
      <c r="BY152" s="118">
        <f t="shared" ref="BY152:BY167" si="149">AC152</f>
        <v>262</v>
      </c>
      <c r="BZ152" s="117">
        <f t="shared" ref="BZ152:BZ167" si="150">AG152</f>
        <v>294</v>
      </c>
      <c r="CA152" s="118">
        <f t="shared" ref="CA152:CA167" si="151">AK152</f>
        <v>300</v>
      </c>
      <c r="CB152" s="117">
        <f t="shared" ref="CB152:CB167" si="152">AO152</f>
        <v>343</v>
      </c>
      <c r="CC152" s="118">
        <f t="shared" ref="CC152:CC167" si="153">AS152</f>
        <v>374</v>
      </c>
      <c r="CD152" s="117">
        <f t="shared" ref="CD152:CD167" si="154">AW152</f>
        <v>404</v>
      </c>
      <c r="CE152" s="116">
        <f t="shared" ref="CE152:CE167" si="155">G152</f>
        <v>164</v>
      </c>
      <c r="CF152" s="117">
        <f t="shared" ref="CF152:CF167" si="156">K152</f>
        <v>170</v>
      </c>
      <c r="CG152" s="118">
        <f t="shared" ref="CG152:CG167" si="157">O152</f>
        <v>199</v>
      </c>
      <c r="CH152" s="118" t="str">
        <f t="shared" ref="CH152:CH167" si="158">S152</f>
        <v>-</v>
      </c>
      <c r="CI152" s="118">
        <f t="shared" ref="CI152:CI167" si="159">W152</f>
        <v>255</v>
      </c>
      <c r="CJ152" s="118" t="str">
        <f t="shared" ref="CJ152:CJ167" si="160">AA152</f>
        <v>-</v>
      </c>
      <c r="CK152" s="118">
        <f t="shared" ref="CK152:CK167" si="161">AE152</f>
        <v>290</v>
      </c>
      <c r="CL152" s="118">
        <f t="shared" ref="CL152:CL167" si="162">AI152</f>
        <v>296</v>
      </c>
      <c r="CM152" s="118">
        <f t="shared" ref="CM152:CM167" si="163">AM152</f>
        <v>335</v>
      </c>
      <c r="CN152" s="118">
        <f t="shared" ref="CN152:CN167" si="164">AQ152</f>
        <v>367</v>
      </c>
      <c r="CO152" s="118">
        <f t="shared" ref="CO152:CO167" si="165">AU152</f>
        <v>403</v>
      </c>
      <c r="CP152" s="118">
        <f t="shared" ref="CP152:CP167" si="166">AY152</f>
        <v>429</v>
      </c>
      <c r="CQ152" s="57">
        <f t="shared" ref="CQ152:CQ167" si="167">M152-K152</f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</row>
    <row r="153" spans="1:1026" x14ac:dyDescent="0.2">
      <c r="A153" s="3" t="str">
        <f t="shared" si="140"/>
        <v>glr_human_5EE7</v>
      </c>
      <c r="B153" s="3" t="s">
        <v>206</v>
      </c>
      <c r="C153" s="3" t="s">
        <v>237</v>
      </c>
      <c r="D153" s="3" t="str">
        <f>IFERROR(MID(VLOOKUP($B153,Seqs!$A:$B,2,0),E153,1),"")</f>
        <v>Y</v>
      </c>
      <c r="E153" s="3">
        <v>138</v>
      </c>
      <c r="F153" s="3" t="str">
        <f>IFERROR(MID(VLOOKUP($B153,Seqs!$A:$B,2,0),G153,1),"")</f>
        <v>L</v>
      </c>
      <c r="G153" s="3">
        <v>166</v>
      </c>
      <c r="H153" s="3" t="str">
        <f>IFERROR(MID(VLOOKUP($B153,Seqs!$A:$B,2,0),I153,1),"")</f>
        <v>S</v>
      </c>
      <c r="I153" s="57">
        <v>167</v>
      </c>
      <c r="J153" s="3" t="str">
        <f>IFERROR(MID(VLOOKUP($B153,Seqs!$A:$B,2,0),K153,1),"")</f>
        <v>H</v>
      </c>
      <c r="K153" s="57">
        <v>170</v>
      </c>
      <c r="L153" s="3" t="str">
        <f>IFERROR(MID(VLOOKUP($B153,Seqs!$A:$B,2,0),M153,1),"")</f>
        <v>C</v>
      </c>
      <c r="M153" s="57">
        <v>171</v>
      </c>
      <c r="N153" s="3" t="str">
        <f>IFERROR(MID(VLOOKUP($B153,Seqs!$A:$B,2,0),O153,1),"")</f>
        <v>R</v>
      </c>
      <c r="O153" s="3">
        <v>199</v>
      </c>
      <c r="P153" s="3" t="str">
        <f>IFERROR(MID(VLOOKUP($B153,Seqs!$A:$B,2,0),Q153,1),"")</f>
        <v/>
      </c>
      <c r="Q153" s="3" t="s">
        <v>129</v>
      </c>
      <c r="R153" s="3" t="str">
        <f>IFERROR(MID(VLOOKUP($B153,Seqs!$A:$B,2,0),S153,1),"")</f>
        <v/>
      </c>
      <c r="S153" s="3" t="s">
        <v>129</v>
      </c>
      <c r="T153" s="3" t="str">
        <f>IFERROR(MID(VLOOKUP($B153,Seqs!$A:$B,2,0),U153,1),"")</f>
        <v>D</v>
      </c>
      <c r="U153" s="3">
        <v>218</v>
      </c>
      <c r="V153" s="3" t="str">
        <f>IFERROR(MID(VLOOKUP($B153,Seqs!$A:$B,2,0),W153,1),"")</f>
        <v>G</v>
      </c>
      <c r="W153" s="3">
        <v>254</v>
      </c>
      <c r="X153" s="3" t="str">
        <f>IFERROR(MID(VLOOKUP($B153,Seqs!$A:$B,2,0),Y153,1),"")</f>
        <v/>
      </c>
      <c r="Y153" s="3" t="s">
        <v>129</v>
      </c>
      <c r="Z153" s="3" t="str">
        <f>IFERROR(MID(VLOOKUP($B153,Seqs!$A:$B,2,0),AA153,1),"")</f>
        <v/>
      </c>
      <c r="AA153" s="3" t="s">
        <v>129</v>
      </c>
      <c r="AB153" s="3" t="str">
        <f>IFERROR(MID(VLOOKUP($B153,Seqs!$A:$B,2,0),AC153,1),"")</f>
        <v>S</v>
      </c>
      <c r="AC153" s="3">
        <v>262</v>
      </c>
      <c r="AD153" s="3" t="str">
        <f>IFERROR(MID(VLOOKUP($B153,Seqs!$A:$B,2,0),AE153,1),"")</f>
        <v>E</v>
      </c>
      <c r="AE153" s="3">
        <v>290</v>
      </c>
      <c r="AF153" s="3" t="str">
        <f>IFERROR(MID(VLOOKUP($B153,Seqs!$A:$B,2,0),AG153,1),"")</f>
        <v>C</v>
      </c>
      <c r="AG153" s="3">
        <v>294</v>
      </c>
      <c r="AH153" s="3" t="str">
        <f>IFERROR(MID(VLOOKUP($B153,Seqs!$A:$B,2,0),AI153,1),"")</f>
        <v>T</v>
      </c>
      <c r="AI153" s="3">
        <v>296</v>
      </c>
      <c r="AJ153" s="3" t="str">
        <f>IFERROR(MID(VLOOKUP($B153,Seqs!$A:$B,2,0),AK153,1),"")</f>
        <v>W</v>
      </c>
      <c r="AK153" s="3">
        <v>305</v>
      </c>
      <c r="AL153" s="3" t="str">
        <f>IFERROR(MID(VLOOKUP($B153,Seqs!$A:$B,2,0),AM153,1),"")</f>
        <v>A</v>
      </c>
      <c r="AM153" s="3">
        <v>335</v>
      </c>
      <c r="AN153" s="3" t="str">
        <f>IFERROR(MID(VLOOKUP($B153,Seqs!$A:$B,2,0),AO153,1),"")</f>
        <v>Y</v>
      </c>
      <c r="AO153" s="3">
        <v>343</v>
      </c>
      <c r="AP153" s="3" t="str">
        <f>IFERROR(MID(VLOOKUP($B153,Seqs!$A:$B,2,0),AQ153,1),"")</f>
        <v>D</v>
      </c>
      <c r="AQ153" s="3">
        <v>370</v>
      </c>
      <c r="AR153" s="3" t="str">
        <f>IFERROR(MID(VLOOKUP($B153,Seqs!$A:$B,2,0),AS153,1),"")</f>
        <v>S</v>
      </c>
      <c r="AS153" s="3">
        <v>379</v>
      </c>
      <c r="AT153" s="3" t="str">
        <f>IFERROR(MID(VLOOKUP($B153,Seqs!$A:$B,2,0),AU153,1),"")</f>
        <v>F</v>
      </c>
      <c r="AU153" s="3">
        <v>402</v>
      </c>
      <c r="AV153" s="3" t="str">
        <f>IFERROR(MID(VLOOKUP($B153,Seqs!$A:$B,2,0),AW153,1),"")</f>
        <v>N</v>
      </c>
      <c r="AW153" s="3">
        <v>404</v>
      </c>
      <c r="AX153" s="3" t="str">
        <f>IFERROR(MID(VLOOKUP($B153,Seqs!$A:$B,2,0),AY153,1),"")</f>
        <v>R</v>
      </c>
      <c r="AY153" s="3">
        <v>417</v>
      </c>
      <c r="BA153" s="124" t="str">
        <f>VLOOKUP(B153,Classification!A:D,2,0)</f>
        <v>B1</v>
      </c>
      <c r="BC153" s="1"/>
      <c r="BD153" s="4"/>
      <c r="BE153" s="57">
        <f t="shared" si="141"/>
        <v>230</v>
      </c>
      <c r="BF153" s="63" t="b">
        <f t="shared" si="142"/>
        <v>1</v>
      </c>
      <c r="BG153" s="116" t="s">
        <v>1513</v>
      </c>
      <c r="BH153" s="102" t="s">
        <v>1513</v>
      </c>
      <c r="BI153" s="102" t="s">
        <v>1513</v>
      </c>
      <c r="BJ153" s="102" t="s">
        <v>1513</v>
      </c>
      <c r="BK153" s="102" t="s">
        <v>1513</v>
      </c>
      <c r="BL153" s="102" t="s">
        <v>1513</v>
      </c>
      <c r="BM153" s="102" t="s">
        <v>1513</v>
      </c>
      <c r="BN153" s="102" t="s">
        <v>1513</v>
      </c>
      <c r="BO153" s="102" t="s">
        <v>1513</v>
      </c>
      <c r="BP153" s="102" t="s">
        <v>1513</v>
      </c>
      <c r="BQ153" s="102" t="s">
        <v>1513</v>
      </c>
      <c r="BR153" s="102" t="s">
        <v>1513</v>
      </c>
      <c r="BS153" s="116">
        <f t="shared" si="143"/>
        <v>138</v>
      </c>
      <c r="BT153" s="117">
        <f t="shared" si="144"/>
        <v>167</v>
      </c>
      <c r="BU153" s="118">
        <f t="shared" si="145"/>
        <v>171</v>
      </c>
      <c r="BV153" s="117" t="str">
        <f t="shared" si="146"/>
        <v>-</v>
      </c>
      <c r="BW153" s="118">
        <f t="shared" si="147"/>
        <v>218</v>
      </c>
      <c r="BX153" s="117" t="str">
        <f t="shared" si="148"/>
        <v>-</v>
      </c>
      <c r="BY153" s="118">
        <f t="shared" si="149"/>
        <v>262</v>
      </c>
      <c r="BZ153" s="117">
        <f t="shared" si="150"/>
        <v>294</v>
      </c>
      <c r="CA153" s="118">
        <f t="shared" si="151"/>
        <v>305</v>
      </c>
      <c r="CB153" s="117">
        <f t="shared" si="152"/>
        <v>343</v>
      </c>
      <c r="CC153" s="118">
        <f t="shared" si="153"/>
        <v>379</v>
      </c>
      <c r="CD153" s="117">
        <f t="shared" si="154"/>
        <v>404</v>
      </c>
      <c r="CE153" s="116">
        <f t="shared" si="155"/>
        <v>166</v>
      </c>
      <c r="CF153" s="117">
        <f t="shared" si="156"/>
        <v>170</v>
      </c>
      <c r="CG153" s="118">
        <f t="shared" si="157"/>
        <v>199</v>
      </c>
      <c r="CH153" s="118" t="str">
        <f t="shared" si="158"/>
        <v>-</v>
      </c>
      <c r="CI153" s="118">
        <f t="shared" si="159"/>
        <v>254</v>
      </c>
      <c r="CJ153" s="118" t="str">
        <f t="shared" si="160"/>
        <v>-</v>
      </c>
      <c r="CK153" s="118">
        <f t="shared" si="161"/>
        <v>290</v>
      </c>
      <c r="CL153" s="118">
        <f t="shared" si="162"/>
        <v>296</v>
      </c>
      <c r="CM153" s="118">
        <f t="shared" si="163"/>
        <v>335</v>
      </c>
      <c r="CN153" s="118">
        <f t="shared" si="164"/>
        <v>370</v>
      </c>
      <c r="CO153" s="118">
        <f t="shared" si="165"/>
        <v>402</v>
      </c>
      <c r="CP153" s="118">
        <f t="shared" si="166"/>
        <v>417</v>
      </c>
      <c r="CQ153" s="57">
        <f t="shared" si="167"/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</row>
    <row r="154" spans="1:1026" x14ac:dyDescent="0.2">
      <c r="A154" s="3" t="str">
        <f t="shared" si="140"/>
        <v>grm1_human__wt</v>
      </c>
      <c r="B154" s="3" t="s">
        <v>223</v>
      </c>
      <c r="C154" s="3" t="s">
        <v>293</v>
      </c>
      <c r="D154" s="3" t="str">
        <f>IFERROR(MID(VLOOKUP($B154,Seqs!$A:$B,2,0),E154,1),"")</f>
        <v>I</v>
      </c>
      <c r="E154" s="3">
        <v>591</v>
      </c>
      <c r="F154" s="3" t="str">
        <f>IFERROR(MID(VLOOKUP($B154,Seqs!$A:$B,2,0),G154,1),"")</f>
        <v>Y</v>
      </c>
      <c r="G154" s="3">
        <v>617</v>
      </c>
      <c r="H154" s="3" t="str">
        <f>IFERROR(MID(VLOOKUP($B154,Seqs!$A:$B,2,0),I154,1),"")</f>
        <v>T</v>
      </c>
      <c r="I154" s="57">
        <v>620</v>
      </c>
      <c r="J154" s="3" t="str">
        <f>IFERROR(MID(VLOOKUP($B154,Seqs!$A:$B,2,0),K154,1),"")</f>
        <v>S</v>
      </c>
      <c r="K154" s="57">
        <v>626</v>
      </c>
      <c r="L154" s="3" t="str">
        <f>IFERROR(MID(VLOOKUP($B154,Seqs!$A:$B,2,0),M154,1),"")</f>
        <v>S</v>
      </c>
      <c r="M154" s="3">
        <v>627</v>
      </c>
      <c r="N154" s="3" t="str">
        <f>IFERROR(MID(VLOOKUP($B154,Seqs!$A:$B,2,0),O154,1),"")</f>
        <v>I</v>
      </c>
      <c r="O154" s="3">
        <v>649</v>
      </c>
      <c r="P154" s="3" t="str">
        <f>IFERROR(MID(VLOOKUP($B154,Seqs!$A:$B,2,0),Q154,1),"")</f>
        <v/>
      </c>
      <c r="Q154" s="3" t="s">
        <v>129</v>
      </c>
      <c r="R154" s="3" t="str">
        <f>IFERROR(MID(VLOOKUP($B154,Seqs!$A:$B,2,0),S154,1),"")</f>
        <v/>
      </c>
      <c r="S154" s="3" t="s">
        <v>129</v>
      </c>
      <c r="T154" s="3" t="str">
        <f>IFERROR(MID(VLOOKUP($B154,Seqs!$A:$B,2,0),U154,1),"")</f>
        <v>T</v>
      </c>
      <c r="U154" s="3">
        <v>654</v>
      </c>
      <c r="V154" s="3" t="str">
        <f>IFERROR(MID(VLOOKUP($B154,Seqs!$A:$B,2,0),W154,1),"")</f>
        <v>L</v>
      </c>
      <c r="W154" s="3">
        <v>686</v>
      </c>
      <c r="X154" s="3" t="str">
        <f>IFERROR(MID(VLOOKUP($B154,Seqs!$A:$B,2,0),Y154,1),"")</f>
        <v/>
      </c>
      <c r="Y154" s="3" t="s">
        <v>129</v>
      </c>
      <c r="Z154" s="3" t="str">
        <f>IFERROR(MID(VLOOKUP($B154,Seqs!$A:$B,2,0),AA154,1),"")</f>
        <v/>
      </c>
      <c r="AA154" s="3" t="s">
        <v>129</v>
      </c>
      <c r="AB154" s="3" t="str">
        <f>IFERROR(MID(VLOOKUP($B154,Seqs!$A:$B,2,0),AC154,1),"")</f>
        <v>A</v>
      </c>
      <c r="AC154" s="3">
        <v>703</v>
      </c>
      <c r="AD154" s="3" t="str">
        <f>IFERROR(MID(VLOOKUP($B154,Seqs!$A:$B,2,0),AE154,1),"")</f>
        <v>E</v>
      </c>
      <c r="AE154" s="3">
        <v>728</v>
      </c>
      <c r="AF154" s="3" t="str">
        <f>IFERROR(MID(VLOOKUP($B154,Seqs!$A:$B,2,0),AG154,1),"")</f>
        <v>C</v>
      </c>
      <c r="AG154" s="3">
        <v>746</v>
      </c>
      <c r="AH154" s="3" t="str">
        <f>IFERROR(MID(VLOOKUP($B154,Seqs!$A:$B,2,0),AI154,1),"")</f>
        <v>T</v>
      </c>
      <c r="AI154" s="3">
        <v>748</v>
      </c>
      <c r="AJ154" s="3" t="str">
        <f>IFERROR(MID(VLOOKUP($B154,Seqs!$A:$B,2,0),AK154,1),"")</f>
        <v>N</v>
      </c>
      <c r="AK154" s="3">
        <v>750</v>
      </c>
      <c r="AL154" s="3" t="str">
        <f>IFERROR(MID(VLOOKUP($B154,Seqs!$A:$B,2,0),AM154,1),"")</f>
        <v>T</v>
      </c>
      <c r="AM154" s="3">
        <v>774</v>
      </c>
      <c r="AN154" s="3" t="str">
        <f>IFERROR(MID(VLOOKUP($B154,Seqs!$A:$B,2,0),AO154,1),"")</f>
        <v>E</v>
      </c>
      <c r="AO154" s="3">
        <v>783</v>
      </c>
      <c r="AP154" s="3" t="str">
        <f>IFERROR(MID(VLOOKUP($B154,Seqs!$A:$B,2,0),AQ154,1),"")</f>
        <v>G</v>
      </c>
      <c r="AQ154" s="3">
        <v>807</v>
      </c>
      <c r="AR154" s="3" t="str">
        <f>IFERROR(MID(VLOOKUP($B154,Seqs!$A:$B,2,0),AS154,1),"")</f>
        <v>K</v>
      </c>
      <c r="AS154" s="3">
        <v>811</v>
      </c>
      <c r="AT154" s="3" t="str">
        <f>IFERROR(MID(VLOOKUP($B154,Seqs!$A:$B,2,0),AU154,1),"")</f>
        <v>A</v>
      </c>
      <c r="AU154" s="3">
        <v>840</v>
      </c>
      <c r="AV154" s="3" t="str">
        <f>IFERROR(MID(VLOOKUP($B154,Seqs!$A:$B,2,0),AW154,1),"")</f>
        <v>K</v>
      </c>
      <c r="AW154" s="3">
        <v>841</v>
      </c>
      <c r="AX154" s="3" t="str">
        <f>IFERROR(MID(VLOOKUP($B154,Seqs!$A:$B,2,0),AY154,1),"")</f>
        <v>S</v>
      </c>
      <c r="AY154" s="3">
        <v>853</v>
      </c>
      <c r="BA154" s="124" t="str">
        <f>VLOOKUP(B154,Classification!A:D,2,0)</f>
        <v>C</v>
      </c>
      <c r="BC154" s="3" t="s">
        <v>1382</v>
      </c>
      <c r="BD154" s="72" t="e">
        <f>S154-Q154+1</f>
        <v>#VALUE!</v>
      </c>
      <c r="BE154" s="57">
        <f t="shared" si="141"/>
        <v>214</v>
      </c>
      <c r="BF154" s="63" t="b">
        <f t="shared" si="142"/>
        <v>1</v>
      </c>
      <c r="BG154" s="116" t="s">
        <v>1513</v>
      </c>
      <c r="BH154" s="102" t="s">
        <v>1513</v>
      </c>
      <c r="BI154" s="102" t="s">
        <v>1513</v>
      </c>
      <c r="BJ154" s="102" t="s">
        <v>1513</v>
      </c>
      <c r="BK154" s="102" t="s">
        <v>1513</v>
      </c>
      <c r="BL154" s="102" t="s">
        <v>1513</v>
      </c>
      <c r="BM154" s="102" t="s">
        <v>1513</v>
      </c>
      <c r="BN154" s="102" t="s">
        <v>1513</v>
      </c>
      <c r="BO154" s="102" t="s">
        <v>1513</v>
      </c>
      <c r="BP154" s="102" t="s">
        <v>1513</v>
      </c>
      <c r="BQ154" s="102" t="s">
        <v>1513</v>
      </c>
      <c r="BR154" s="102" t="s">
        <v>1513</v>
      </c>
      <c r="BS154" s="116">
        <f t="shared" si="143"/>
        <v>591</v>
      </c>
      <c r="BT154" s="117">
        <f t="shared" si="144"/>
        <v>620</v>
      </c>
      <c r="BU154" s="118">
        <f t="shared" si="145"/>
        <v>627</v>
      </c>
      <c r="BV154" s="117" t="str">
        <f t="shared" si="146"/>
        <v>-</v>
      </c>
      <c r="BW154" s="118">
        <f t="shared" si="147"/>
        <v>654</v>
      </c>
      <c r="BX154" s="117" t="str">
        <f t="shared" si="148"/>
        <v>-</v>
      </c>
      <c r="BY154" s="118">
        <f t="shared" si="149"/>
        <v>703</v>
      </c>
      <c r="BZ154" s="117">
        <f t="shared" si="150"/>
        <v>746</v>
      </c>
      <c r="CA154" s="118">
        <f t="shared" si="151"/>
        <v>750</v>
      </c>
      <c r="CB154" s="117">
        <f t="shared" si="152"/>
        <v>783</v>
      </c>
      <c r="CC154" s="118">
        <f t="shared" si="153"/>
        <v>811</v>
      </c>
      <c r="CD154" s="117">
        <f t="shared" si="154"/>
        <v>841</v>
      </c>
      <c r="CE154" s="116">
        <f t="shared" si="155"/>
        <v>617</v>
      </c>
      <c r="CF154" s="117">
        <f t="shared" si="156"/>
        <v>626</v>
      </c>
      <c r="CG154" s="118">
        <f t="shared" si="157"/>
        <v>649</v>
      </c>
      <c r="CH154" s="118" t="str">
        <f t="shared" si="158"/>
        <v>-</v>
      </c>
      <c r="CI154" s="118">
        <f t="shared" si="159"/>
        <v>686</v>
      </c>
      <c r="CJ154" s="118" t="str">
        <f t="shared" si="160"/>
        <v>-</v>
      </c>
      <c r="CK154" s="118">
        <f t="shared" si="161"/>
        <v>728</v>
      </c>
      <c r="CL154" s="118">
        <f t="shared" si="162"/>
        <v>748</v>
      </c>
      <c r="CM154" s="118">
        <f t="shared" si="163"/>
        <v>774</v>
      </c>
      <c r="CN154" s="118">
        <f t="shared" si="164"/>
        <v>807</v>
      </c>
      <c r="CO154" s="118">
        <f t="shared" si="165"/>
        <v>840</v>
      </c>
      <c r="CP154" s="118">
        <f t="shared" si="166"/>
        <v>853</v>
      </c>
      <c r="CQ154" s="57">
        <f t="shared" si="167"/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</row>
    <row r="155" spans="1:1026" x14ac:dyDescent="0.2">
      <c r="A155" s="3" t="str">
        <f t="shared" si="140"/>
        <v>grm1_human_4OR2</v>
      </c>
      <c r="B155" s="3" t="s">
        <v>223</v>
      </c>
      <c r="C155" s="3" t="s">
        <v>288</v>
      </c>
      <c r="D155" s="3" t="str">
        <f>IFERROR(MID(VLOOKUP($B155,Seqs!$A:$B,2,0),E155,1),"")</f>
        <v>I</v>
      </c>
      <c r="E155" s="3">
        <v>591</v>
      </c>
      <c r="F155" s="3" t="str">
        <f>IFERROR(MID(VLOOKUP($B155,Seqs!$A:$B,2,0),G155,1),"")</f>
        <v>Y</v>
      </c>
      <c r="G155" s="3">
        <v>617</v>
      </c>
      <c r="H155" s="3" t="str">
        <f>IFERROR(MID(VLOOKUP($B155,Seqs!$A:$B,2,0),I155,1),"")</f>
        <v>T</v>
      </c>
      <c r="I155" s="57">
        <v>620</v>
      </c>
      <c r="J155" s="3" t="str">
        <f>IFERROR(MID(VLOOKUP($B155,Seqs!$A:$B,2,0),K155,1),"")</f>
        <v>S</v>
      </c>
      <c r="K155" s="57">
        <v>626</v>
      </c>
      <c r="L155" s="3" t="str">
        <f>IFERROR(MID(VLOOKUP($B155,Seqs!$A:$B,2,0),M155,1),"")</f>
        <v>S</v>
      </c>
      <c r="M155" s="3">
        <v>627</v>
      </c>
      <c r="N155" s="3" t="str">
        <f>IFERROR(MID(VLOOKUP($B155,Seqs!$A:$B,2,0),O155,1),"")</f>
        <v>I</v>
      </c>
      <c r="O155" s="3">
        <v>649</v>
      </c>
      <c r="P155" s="3" t="str">
        <f>IFERROR(MID(VLOOKUP($B155,Seqs!$A:$B,2,0),Q155,1),"")</f>
        <v/>
      </c>
      <c r="Q155" s="3" t="s">
        <v>129</v>
      </c>
      <c r="R155" s="3" t="str">
        <f>IFERROR(MID(VLOOKUP($B155,Seqs!$A:$B,2,0),S155,1),"")</f>
        <v/>
      </c>
      <c r="S155" s="3" t="s">
        <v>129</v>
      </c>
      <c r="T155" s="3" t="str">
        <f>IFERROR(MID(VLOOKUP($B155,Seqs!$A:$B,2,0),U155,1),"")</f>
        <v>T</v>
      </c>
      <c r="U155" s="3">
        <v>654</v>
      </c>
      <c r="V155" s="3" t="str">
        <f>IFERROR(MID(VLOOKUP($B155,Seqs!$A:$B,2,0),W155,1),"")</f>
        <v>L</v>
      </c>
      <c r="W155" s="3">
        <v>686</v>
      </c>
      <c r="X155" s="3" t="str">
        <f>IFERROR(MID(VLOOKUP($B155,Seqs!$A:$B,2,0),Y155,1),"")</f>
        <v/>
      </c>
      <c r="Y155" s="3" t="s">
        <v>129</v>
      </c>
      <c r="Z155" s="3" t="str">
        <f>IFERROR(MID(VLOOKUP($B155,Seqs!$A:$B,2,0),AA155,1),"")</f>
        <v/>
      </c>
      <c r="AA155" s="3" t="s">
        <v>129</v>
      </c>
      <c r="AB155" s="3" t="str">
        <f>IFERROR(MID(VLOOKUP($B155,Seqs!$A:$B,2,0),AC155,1),"")</f>
        <v>A</v>
      </c>
      <c r="AC155" s="3">
        <v>703</v>
      </c>
      <c r="AD155" s="3" t="str">
        <f>IFERROR(MID(VLOOKUP($B155,Seqs!$A:$B,2,0),AE155,1),"")</f>
        <v>E</v>
      </c>
      <c r="AE155" s="3">
        <v>728</v>
      </c>
      <c r="AF155" s="3" t="str">
        <f>IFERROR(MID(VLOOKUP($B155,Seqs!$A:$B,2,0),AG155,1),"")</f>
        <v>C</v>
      </c>
      <c r="AG155" s="3">
        <v>746</v>
      </c>
      <c r="AH155" s="3" t="str">
        <f>IFERROR(MID(VLOOKUP($B155,Seqs!$A:$B,2,0),AI155,1),"")</f>
        <v>T</v>
      </c>
      <c r="AI155" s="3">
        <v>748</v>
      </c>
      <c r="AJ155" s="3" t="str">
        <f>IFERROR(MID(VLOOKUP($B155,Seqs!$A:$B,2,0),AK155,1),"")</f>
        <v>N</v>
      </c>
      <c r="AK155" s="3">
        <v>750</v>
      </c>
      <c r="AL155" s="3" t="str">
        <f>IFERROR(MID(VLOOKUP($B155,Seqs!$A:$B,2,0),AM155,1),"")</f>
        <v>T</v>
      </c>
      <c r="AM155" s="3">
        <v>774</v>
      </c>
      <c r="AN155" s="3" t="str">
        <f>IFERROR(MID(VLOOKUP($B155,Seqs!$A:$B,2,0),AO155,1),"")</f>
        <v>E</v>
      </c>
      <c r="AO155" s="3">
        <v>783</v>
      </c>
      <c r="AP155" s="3" t="str">
        <f>IFERROR(MID(VLOOKUP($B155,Seqs!$A:$B,2,0),AQ155,1),"")</f>
        <v>G</v>
      </c>
      <c r="AQ155" s="3">
        <v>807</v>
      </c>
      <c r="AR155" s="3" t="str">
        <f>IFERROR(MID(VLOOKUP($B155,Seqs!$A:$B,2,0),AS155,1),"")</f>
        <v>K</v>
      </c>
      <c r="AS155" s="3">
        <v>811</v>
      </c>
      <c r="AT155" s="3" t="str">
        <f>IFERROR(MID(VLOOKUP($B155,Seqs!$A:$B,2,0),AU155,1),"")</f>
        <v>A</v>
      </c>
      <c r="AU155" s="3">
        <v>840</v>
      </c>
      <c r="AV155" s="3" t="str">
        <f>IFERROR(MID(VLOOKUP($B155,Seqs!$A:$B,2,0),AW155,1),"")</f>
        <v>K</v>
      </c>
      <c r="AW155" s="3">
        <v>841</v>
      </c>
      <c r="AX155" s="3" t="str">
        <f>IFERROR(MID(VLOOKUP($B155,Seqs!$A:$B,2,0),AY155,1),"")</f>
        <v>P</v>
      </c>
      <c r="AY155" s="3">
        <v>842</v>
      </c>
      <c r="BA155" s="124" t="str">
        <f>VLOOKUP(B155,Classification!A:D,2,0)</f>
        <v>C</v>
      </c>
      <c r="BD155" s="5"/>
      <c r="BE155" s="57">
        <f t="shared" si="141"/>
        <v>203</v>
      </c>
      <c r="BF155" s="63" t="b">
        <f t="shared" si="142"/>
        <v>1</v>
      </c>
      <c r="BG155" s="116" t="s">
        <v>1513</v>
      </c>
      <c r="BH155" s="102" t="s">
        <v>1513</v>
      </c>
      <c r="BI155" s="102" t="s">
        <v>1513</v>
      </c>
      <c r="BJ155" s="102" t="s">
        <v>1513</v>
      </c>
      <c r="BK155" s="102" t="s">
        <v>1513</v>
      </c>
      <c r="BL155" s="102" t="s">
        <v>1513</v>
      </c>
      <c r="BM155" s="102" t="s">
        <v>1513</v>
      </c>
      <c r="BN155" s="102" t="s">
        <v>1513</v>
      </c>
      <c r="BO155" s="102" t="s">
        <v>1513</v>
      </c>
      <c r="BP155" s="102" t="s">
        <v>1513</v>
      </c>
      <c r="BQ155" s="102" t="s">
        <v>1513</v>
      </c>
      <c r="BR155" s="102" t="s">
        <v>1513</v>
      </c>
      <c r="BS155" s="116">
        <f t="shared" si="143"/>
        <v>591</v>
      </c>
      <c r="BT155" s="117">
        <f t="shared" si="144"/>
        <v>620</v>
      </c>
      <c r="BU155" s="118">
        <f t="shared" si="145"/>
        <v>627</v>
      </c>
      <c r="BV155" s="117" t="str">
        <f t="shared" si="146"/>
        <v>-</v>
      </c>
      <c r="BW155" s="118">
        <f t="shared" si="147"/>
        <v>654</v>
      </c>
      <c r="BX155" s="117" t="str">
        <f t="shared" si="148"/>
        <v>-</v>
      </c>
      <c r="BY155" s="118">
        <f t="shared" si="149"/>
        <v>703</v>
      </c>
      <c r="BZ155" s="117">
        <f t="shared" si="150"/>
        <v>746</v>
      </c>
      <c r="CA155" s="118">
        <f t="shared" si="151"/>
        <v>750</v>
      </c>
      <c r="CB155" s="117">
        <f t="shared" si="152"/>
        <v>783</v>
      </c>
      <c r="CC155" s="118">
        <f t="shared" si="153"/>
        <v>811</v>
      </c>
      <c r="CD155" s="117">
        <f t="shared" si="154"/>
        <v>841</v>
      </c>
      <c r="CE155" s="116">
        <f t="shared" si="155"/>
        <v>617</v>
      </c>
      <c r="CF155" s="117">
        <f t="shared" si="156"/>
        <v>626</v>
      </c>
      <c r="CG155" s="118">
        <f t="shared" si="157"/>
        <v>649</v>
      </c>
      <c r="CH155" s="118" t="str">
        <f t="shared" si="158"/>
        <v>-</v>
      </c>
      <c r="CI155" s="118">
        <f t="shared" si="159"/>
        <v>686</v>
      </c>
      <c r="CJ155" s="118" t="str">
        <f t="shared" si="160"/>
        <v>-</v>
      </c>
      <c r="CK155" s="118">
        <f t="shared" si="161"/>
        <v>728</v>
      </c>
      <c r="CL155" s="118">
        <f t="shared" si="162"/>
        <v>748</v>
      </c>
      <c r="CM155" s="118">
        <f t="shared" si="163"/>
        <v>774</v>
      </c>
      <c r="CN155" s="118">
        <f t="shared" si="164"/>
        <v>807</v>
      </c>
      <c r="CO155" s="118">
        <f t="shared" si="165"/>
        <v>840</v>
      </c>
      <c r="CP155" s="118">
        <f t="shared" si="166"/>
        <v>842</v>
      </c>
      <c r="CQ155" s="57">
        <f t="shared" si="167"/>
        <v>1</v>
      </c>
    </row>
    <row r="156" spans="1:1026" x14ac:dyDescent="0.2">
      <c r="A156" s="3" t="str">
        <f t="shared" si="140"/>
        <v>grm5_human__wt</v>
      </c>
      <c r="B156" s="3" t="s">
        <v>224</v>
      </c>
      <c r="C156" s="3" t="s">
        <v>293</v>
      </c>
      <c r="D156" s="3" t="str">
        <f>IFERROR(MID(VLOOKUP($B156,Seqs!$A:$B,2,0),E156,1),"")</f>
        <v>P</v>
      </c>
      <c r="E156" s="3">
        <v>578</v>
      </c>
      <c r="F156" s="3" t="str">
        <f>IFERROR(MID(VLOOKUP($B156,Seqs!$A:$B,2,0),G156,1),"")</f>
        <v>Y</v>
      </c>
      <c r="G156" s="3">
        <v>604</v>
      </c>
      <c r="H156" s="3" t="str">
        <f>IFERROR(MID(VLOOKUP($B156,Seqs!$A:$B,2,0),I156,1),"")</f>
        <v>T</v>
      </c>
      <c r="I156" s="57">
        <v>607</v>
      </c>
      <c r="J156" s="3" t="str">
        <f>IFERROR(MID(VLOOKUP($B156,Seqs!$A:$B,2,0),K156,1),"")</f>
        <v>S</v>
      </c>
      <c r="K156" s="57">
        <v>613</v>
      </c>
      <c r="L156" s="3" t="str">
        <f>IFERROR(MID(VLOOKUP($B156,Seqs!$A:$B,2,0),M156,1),"")</f>
        <v>S</v>
      </c>
      <c r="M156" s="3">
        <v>614</v>
      </c>
      <c r="N156" s="3" t="str">
        <f>IFERROR(MID(VLOOKUP($B156,Seqs!$A:$B,2,0),O156,1),"")</f>
        <v>I</v>
      </c>
      <c r="O156" s="3">
        <v>636</v>
      </c>
      <c r="P156" s="3" t="str">
        <f>IFERROR(MID(VLOOKUP($B156,Seqs!$A:$B,2,0),Q156,1),"")</f>
        <v/>
      </c>
      <c r="Q156" s="3" t="s">
        <v>129</v>
      </c>
      <c r="R156" s="3" t="str">
        <f>IFERROR(MID(VLOOKUP($B156,Seqs!$A:$B,2,0),S156,1),"")</f>
        <v/>
      </c>
      <c r="S156" s="3" t="s">
        <v>129</v>
      </c>
      <c r="T156" s="3" t="str">
        <f>IFERROR(MID(VLOOKUP($B156,Seqs!$A:$B,2,0),U156,1),"")</f>
        <v>Q</v>
      </c>
      <c r="U156" s="3">
        <v>641</v>
      </c>
      <c r="V156" s="3" t="str">
        <f>IFERROR(MID(VLOOKUP($B156,Seqs!$A:$B,2,0),W156,1),"")</f>
        <v>L</v>
      </c>
      <c r="W156" s="3">
        <v>673</v>
      </c>
      <c r="X156" s="3" t="str">
        <f>IFERROR(MID(VLOOKUP($B156,Seqs!$A:$B,2,0),Y156,1),"")</f>
        <v/>
      </c>
      <c r="Y156" s="3" t="s">
        <v>129</v>
      </c>
      <c r="Z156" s="3" t="str">
        <f>IFERROR(MID(VLOOKUP($B156,Seqs!$A:$B,2,0),AA156,1),"")</f>
        <v/>
      </c>
      <c r="AA156" s="3" t="s">
        <v>129</v>
      </c>
      <c r="AB156" s="3" t="str">
        <f>IFERROR(MID(VLOOKUP($B156,Seqs!$A:$B,2,0),AC156,1),"")</f>
        <v>A</v>
      </c>
      <c r="AC156" s="3">
        <v>690</v>
      </c>
      <c r="AD156" s="3" t="str">
        <f>IFERROR(MID(VLOOKUP($B156,Seqs!$A:$B,2,0),AE156,1),"")</f>
        <v>E</v>
      </c>
      <c r="AE156" s="3">
        <v>715</v>
      </c>
      <c r="AF156" s="3" t="str">
        <f>IFERROR(MID(VLOOKUP($B156,Seqs!$A:$B,2,0),AG156,1),"")</f>
        <v>C</v>
      </c>
      <c r="AG156" s="3">
        <v>733</v>
      </c>
      <c r="AH156" s="3" t="str">
        <f>IFERROR(MID(VLOOKUP($B156,Seqs!$A:$B,2,0),AI156,1),"")</f>
        <v>T</v>
      </c>
      <c r="AI156" s="3">
        <v>735</v>
      </c>
      <c r="AJ156" s="3" t="str">
        <f>IFERROR(MID(VLOOKUP($B156,Seqs!$A:$B,2,0),AK156,1),"")</f>
        <v>N</v>
      </c>
      <c r="AK156" s="3">
        <v>737</v>
      </c>
      <c r="AL156" s="3" t="str">
        <f>IFERROR(MID(VLOOKUP($B156,Seqs!$A:$B,2,0),AM156,1),"")</f>
        <v>T</v>
      </c>
      <c r="AM156" s="3">
        <v>761</v>
      </c>
      <c r="AN156" s="3" t="str">
        <f>IFERROR(MID(VLOOKUP($B156,Seqs!$A:$B,2,0),AO156,1),"")</f>
        <v>E</v>
      </c>
      <c r="AO156" s="3">
        <v>770</v>
      </c>
      <c r="AP156" s="3" t="str">
        <f>IFERROR(MID(VLOOKUP($B156,Seqs!$A:$B,2,0),AQ156,1),"")</f>
        <v>G</v>
      </c>
      <c r="AQ156" s="3">
        <v>794</v>
      </c>
      <c r="AR156" s="3" t="str">
        <f>IFERROR(MID(VLOOKUP($B156,Seqs!$A:$B,2,0),AS156,1),"")</f>
        <v>K</v>
      </c>
      <c r="AS156" s="3">
        <v>798</v>
      </c>
      <c r="AT156" s="3" t="str">
        <f>IFERROR(MID(VLOOKUP($B156,Seqs!$A:$B,2,0),AU156,1),"")</f>
        <v>A</v>
      </c>
      <c r="AU156" s="3">
        <v>827</v>
      </c>
      <c r="AV156" s="3" t="str">
        <f>IFERROR(MID(VLOOKUP($B156,Seqs!$A:$B,2,0),AW156,1),"")</f>
        <v>K</v>
      </c>
      <c r="AW156" s="3">
        <v>828</v>
      </c>
      <c r="AX156" s="3" t="str">
        <f>IFERROR(MID(VLOOKUP($B156,Seqs!$A:$B,2,0),AY156,1),"")</f>
        <v>S</v>
      </c>
      <c r="AY156" s="3">
        <v>840</v>
      </c>
      <c r="BA156" s="124" t="str">
        <f>VLOOKUP(B156,Classification!A:D,2,0)</f>
        <v>C</v>
      </c>
      <c r="BD156" s="101" t="e">
        <f>S156-Q156+1</f>
        <v>#VALUE!</v>
      </c>
      <c r="BE156" s="57">
        <f t="shared" si="141"/>
        <v>214</v>
      </c>
      <c r="BF156" s="63" t="b">
        <f t="shared" si="142"/>
        <v>1</v>
      </c>
      <c r="BG156" s="116" t="s">
        <v>1513</v>
      </c>
      <c r="BH156" s="102" t="s">
        <v>1513</v>
      </c>
      <c r="BI156" s="102" t="s">
        <v>1513</v>
      </c>
      <c r="BJ156" s="102" t="s">
        <v>1513</v>
      </c>
      <c r="BK156" s="102" t="s">
        <v>1513</v>
      </c>
      <c r="BL156" s="102" t="s">
        <v>1513</v>
      </c>
      <c r="BM156" s="102" t="s">
        <v>1513</v>
      </c>
      <c r="BN156" s="102" t="s">
        <v>1513</v>
      </c>
      <c r="BO156" s="102" t="s">
        <v>1513</v>
      </c>
      <c r="BP156" s="102" t="s">
        <v>1513</v>
      </c>
      <c r="BQ156" s="102" t="s">
        <v>1513</v>
      </c>
      <c r="BR156" s="102" t="s">
        <v>1513</v>
      </c>
      <c r="BS156" s="116">
        <f t="shared" si="143"/>
        <v>578</v>
      </c>
      <c r="BT156" s="117">
        <f t="shared" si="144"/>
        <v>607</v>
      </c>
      <c r="BU156" s="118">
        <f t="shared" si="145"/>
        <v>614</v>
      </c>
      <c r="BV156" s="117" t="str">
        <f t="shared" si="146"/>
        <v>-</v>
      </c>
      <c r="BW156" s="118">
        <f t="shared" si="147"/>
        <v>641</v>
      </c>
      <c r="BX156" s="117" t="str">
        <f t="shared" si="148"/>
        <v>-</v>
      </c>
      <c r="BY156" s="118">
        <f t="shared" si="149"/>
        <v>690</v>
      </c>
      <c r="BZ156" s="117">
        <f t="shared" si="150"/>
        <v>733</v>
      </c>
      <c r="CA156" s="118">
        <f t="shared" si="151"/>
        <v>737</v>
      </c>
      <c r="CB156" s="117">
        <f t="shared" si="152"/>
        <v>770</v>
      </c>
      <c r="CC156" s="118">
        <f t="shared" si="153"/>
        <v>798</v>
      </c>
      <c r="CD156" s="117">
        <f t="shared" si="154"/>
        <v>828</v>
      </c>
      <c r="CE156" s="116">
        <f t="shared" si="155"/>
        <v>604</v>
      </c>
      <c r="CF156" s="117">
        <f t="shared" si="156"/>
        <v>613</v>
      </c>
      <c r="CG156" s="118">
        <f t="shared" si="157"/>
        <v>636</v>
      </c>
      <c r="CH156" s="118" t="str">
        <f t="shared" si="158"/>
        <v>-</v>
      </c>
      <c r="CI156" s="118">
        <f t="shared" si="159"/>
        <v>673</v>
      </c>
      <c r="CJ156" s="118" t="str">
        <f t="shared" si="160"/>
        <v>-</v>
      </c>
      <c r="CK156" s="118">
        <f t="shared" si="161"/>
        <v>715</v>
      </c>
      <c r="CL156" s="118">
        <f t="shared" si="162"/>
        <v>735</v>
      </c>
      <c r="CM156" s="118">
        <f t="shared" si="163"/>
        <v>761</v>
      </c>
      <c r="CN156" s="118">
        <f t="shared" si="164"/>
        <v>794</v>
      </c>
      <c r="CO156" s="118">
        <f t="shared" si="165"/>
        <v>827</v>
      </c>
      <c r="CP156" s="118">
        <f t="shared" si="166"/>
        <v>840</v>
      </c>
      <c r="CQ156" s="57">
        <f t="shared" si="167"/>
        <v>1</v>
      </c>
    </row>
    <row r="157" spans="1:1026" x14ac:dyDescent="0.2">
      <c r="A157" s="3" t="str">
        <f t="shared" si="140"/>
        <v>grm5_human_4OO9</v>
      </c>
      <c r="B157" s="3" t="s">
        <v>224</v>
      </c>
      <c r="C157" s="3" t="s">
        <v>247</v>
      </c>
      <c r="D157" s="3" t="str">
        <f>IFERROR(MID(VLOOKUP($B157,Seqs!$A:$B,2,0),E157,1),"")</f>
        <v>P</v>
      </c>
      <c r="E157" s="3">
        <v>578</v>
      </c>
      <c r="F157" s="3" t="str">
        <f>IFERROR(MID(VLOOKUP($B157,Seqs!$A:$B,2,0),G157,1),"")</f>
        <v>Y</v>
      </c>
      <c r="G157" s="3">
        <v>604</v>
      </c>
      <c r="H157" s="3" t="str">
        <f>IFERROR(MID(VLOOKUP($B157,Seqs!$A:$B,2,0),I157,1),"")</f>
        <v>T</v>
      </c>
      <c r="I157" s="57">
        <v>607</v>
      </c>
      <c r="J157" s="3" t="str">
        <f>IFERROR(MID(VLOOKUP($B157,Seqs!$A:$B,2,0),K157,1),"")</f>
        <v>S</v>
      </c>
      <c r="K157" s="57">
        <v>613</v>
      </c>
      <c r="L157" s="3" t="str">
        <f>IFERROR(MID(VLOOKUP($B157,Seqs!$A:$B,2,0),M157,1),"")</f>
        <v>S</v>
      </c>
      <c r="M157" s="3">
        <v>614</v>
      </c>
      <c r="N157" s="3" t="str">
        <f>IFERROR(MID(VLOOKUP($B157,Seqs!$A:$B,2,0),O157,1),"")</f>
        <v>I</v>
      </c>
      <c r="O157" s="3">
        <v>636</v>
      </c>
      <c r="P157" s="3" t="str">
        <f>IFERROR(MID(VLOOKUP($B157,Seqs!$A:$B,2,0),Q157,1),"")</f>
        <v/>
      </c>
      <c r="Q157" s="3" t="s">
        <v>129</v>
      </c>
      <c r="R157" s="3" t="str">
        <f>IFERROR(MID(VLOOKUP($B157,Seqs!$A:$B,2,0),S157,1),"")</f>
        <v/>
      </c>
      <c r="S157" s="3" t="s">
        <v>129</v>
      </c>
      <c r="T157" s="3" t="str">
        <f>IFERROR(MID(VLOOKUP($B157,Seqs!$A:$B,2,0),U157,1),"")</f>
        <v>Q</v>
      </c>
      <c r="U157" s="3">
        <v>641</v>
      </c>
      <c r="V157" s="3" t="str">
        <f>IFERROR(MID(VLOOKUP($B157,Seqs!$A:$B,2,0),W157,1),"")</f>
        <v>K</v>
      </c>
      <c r="W157" s="3">
        <v>678</v>
      </c>
      <c r="X157" s="3" t="str">
        <f>IFERROR(MID(VLOOKUP($B157,Seqs!$A:$B,2,0),Y157,1),"")</f>
        <v/>
      </c>
      <c r="Y157" s="3" t="s">
        <v>129</v>
      </c>
      <c r="Z157" s="3" t="str">
        <f>IFERROR(MID(VLOOKUP($B157,Seqs!$A:$B,2,0),AA157,1),"")</f>
        <v/>
      </c>
      <c r="AA157" s="3" t="s">
        <v>129</v>
      </c>
      <c r="AB157" s="3" t="str">
        <f>IFERROR(MID(VLOOKUP($B157,Seqs!$A:$B,2,0),AC157,1),"")</f>
        <v>A</v>
      </c>
      <c r="AC157" s="3">
        <v>690</v>
      </c>
      <c r="AD157" s="3" t="str">
        <f>IFERROR(MID(VLOOKUP($B157,Seqs!$A:$B,2,0),AE157,1),"")</f>
        <v>E</v>
      </c>
      <c r="AE157" s="3">
        <v>715</v>
      </c>
      <c r="AF157" s="3" t="str">
        <f>IFERROR(MID(VLOOKUP($B157,Seqs!$A:$B,2,0),AG157,1),"")</f>
        <v>C</v>
      </c>
      <c r="AG157" s="3">
        <v>733</v>
      </c>
      <c r="AH157" s="3" t="str">
        <f>IFERROR(MID(VLOOKUP($B157,Seqs!$A:$B,2,0),AI157,1),"")</f>
        <v>T</v>
      </c>
      <c r="AI157" s="3">
        <v>735</v>
      </c>
      <c r="AJ157" s="3" t="str">
        <f>IFERROR(MID(VLOOKUP($B157,Seqs!$A:$B,2,0),AK157,1),"")</f>
        <v>N</v>
      </c>
      <c r="AK157" s="3">
        <v>737</v>
      </c>
      <c r="AL157" s="3" t="str">
        <f>IFERROR(MID(VLOOKUP($B157,Seqs!$A:$B,2,0),AM157,1),"")</f>
        <v>T</v>
      </c>
      <c r="AM157" s="3">
        <v>761</v>
      </c>
      <c r="AN157" s="3" t="str">
        <f>IFERROR(MID(VLOOKUP($B157,Seqs!$A:$B,2,0),AO157,1),"")</f>
        <v>E</v>
      </c>
      <c r="AO157" s="3">
        <v>770</v>
      </c>
      <c r="AP157" s="3" t="str">
        <f>IFERROR(MID(VLOOKUP($B157,Seqs!$A:$B,2,0),AQ157,1),"")</f>
        <v>G</v>
      </c>
      <c r="AQ157" s="3">
        <v>794</v>
      </c>
      <c r="AR157" s="3" t="str">
        <f>IFERROR(MID(VLOOKUP($B157,Seqs!$A:$B,2,0),AS157,1),"")</f>
        <v>K</v>
      </c>
      <c r="AS157" s="3">
        <v>798</v>
      </c>
      <c r="AT157" s="3" t="str">
        <f>IFERROR(MID(VLOOKUP($B157,Seqs!$A:$B,2,0),AU157,1),"")</f>
        <v>A</v>
      </c>
      <c r="AU157" s="3">
        <v>827</v>
      </c>
      <c r="AV157" s="3" t="str">
        <f>IFERROR(MID(VLOOKUP($B157,Seqs!$A:$B,2,0),AW157,1),"")</f>
        <v>K</v>
      </c>
      <c r="AW157" s="3">
        <v>828</v>
      </c>
      <c r="AX157" s="3" t="str">
        <f>IFERROR(MID(VLOOKUP($B157,Seqs!$A:$B,2,0),AY157,1),"")</f>
        <v>N</v>
      </c>
      <c r="AY157" s="3">
        <v>832</v>
      </c>
      <c r="BA157" s="124" t="str">
        <f>VLOOKUP(B157,Classification!A:D,2,0)</f>
        <v>C</v>
      </c>
      <c r="BD157" s="2" t="s">
        <v>1314</v>
      </c>
      <c r="BE157" s="57">
        <f t="shared" si="141"/>
        <v>211</v>
      </c>
      <c r="BF157" s="63" t="b">
        <f t="shared" si="142"/>
        <v>1</v>
      </c>
      <c r="BG157" s="116" t="s">
        <v>1513</v>
      </c>
      <c r="BH157" s="102" t="s">
        <v>1513</v>
      </c>
      <c r="BI157" s="102" t="s">
        <v>1513</v>
      </c>
      <c r="BJ157" s="102" t="s">
        <v>1513</v>
      </c>
      <c r="BK157" s="102" t="s">
        <v>1513</v>
      </c>
      <c r="BL157" s="102" t="s">
        <v>1513</v>
      </c>
      <c r="BM157" s="102" t="s">
        <v>1513</v>
      </c>
      <c r="BN157" s="102" t="s">
        <v>1513</v>
      </c>
      <c r="BO157" s="102" t="s">
        <v>1513</v>
      </c>
      <c r="BP157" s="102" t="s">
        <v>1513</v>
      </c>
      <c r="BQ157" s="102" t="s">
        <v>1513</v>
      </c>
      <c r="BR157" s="102" t="s">
        <v>1513</v>
      </c>
      <c r="BS157" s="116">
        <f t="shared" si="143"/>
        <v>578</v>
      </c>
      <c r="BT157" s="117">
        <f t="shared" si="144"/>
        <v>607</v>
      </c>
      <c r="BU157" s="118">
        <f t="shared" si="145"/>
        <v>614</v>
      </c>
      <c r="BV157" s="117" t="str">
        <f t="shared" si="146"/>
        <v>-</v>
      </c>
      <c r="BW157" s="118">
        <f t="shared" si="147"/>
        <v>641</v>
      </c>
      <c r="BX157" s="117" t="str">
        <f t="shared" si="148"/>
        <v>-</v>
      </c>
      <c r="BY157" s="118">
        <f t="shared" si="149"/>
        <v>690</v>
      </c>
      <c r="BZ157" s="117">
        <f t="shared" si="150"/>
        <v>733</v>
      </c>
      <c r="CA157" s="118">
        <f t="shared" si="151"/>
        <v>737</v>
      </c>
      <c r="CB157" s="117">
        <f t="shared" si="152"/>
        <v>770</v>
      </c>
      <c r="CC157" s="118">
        <f t="shared" si="153"/>
        <v>798</v>
      </c>
      <c r="CD157" s="117">
        <f t="shared" si="154"/>
        <v>828</v>
      </c>
      <c r="CE157" s="116">
        <f t="shared" si="155"/>
        <v>604</v>
      </c>
      <c r="CF157" s="117">
        <f t="shared" si="156"/>
        <v>613</v>
      </c>
      <c r="CG157" s="118">
        <f t="shared" si="157"/>
        <v>636</v>
      </c>
      <c r="CH157" s="118" t="str">
        <f t="shared" si="158"/>
        <v>-</v>
      </c>
      <c r="CI157" s="118">
        <f t="shared" si="159"/>
        <v>678</v>
      </c>
      <c r="CJ157" s="118" t="str">
        <f t="shared" si="160"/>
        <v>-</v>
      </c>
      <c r="CK157" s="118">
        <f t="shared" si="161"/>
        <v>715</v>
      </c>
      <c r="CL157" s="118">
        <f t="shared" si="162"/>
        <v>735</v>
      </c>
      <c r="CM157" s="118">
        <f t="shared" si="163"/>
        <v>761</v>
      </c>
      <c r="CN157" s="118">
        <f t="shared" si="164"/>
        <v>794</v>
      </c>
      <c r="CO157" s="118">
        <f t="shared" si="165"/>
        <v>827</v>
      </c>
      <c r="CP157" s="118">
        <f t="shared" si="166"/>
        <v>832</v>
      </c>
      <c r="CQ157" s="57">
        <f t="shared" si="167"/>
        <v>1</v>
      </c>
    </row>
    <row r="158" spans="1:1026" x14ac:dyDescent="0.2">
      <c r="A158" s="3" t="str">
        <f t="shared" si="140"/>
        <v>grm5_human_5CGC</v>
      </c>
      <c r="B158" s="3" t="s">
        <v>224</v>
      </c>
      <c r="C158" s="3" t="s">
        <v>248</v>
      </c>
      <c r="D158" s="3" t="str">
        <f>IFERROR(MID(VLOOKUP($B158,Seqs!$A:$B,2,0),E158,1),"")</f>
        <v>P</v>
      </c>
      <c r="E158" s="3">
        <v>578</v>
      </c>
      <c r="F158" s="3" t="str">
        <f>IFERROR(MID(VLOOKUP($B158,Seqs!$A:$B,2,0),G158,1),"")</f>
        <v>Y</v>
      </c>
      <c r="G158" s="3">
        <v>604</v>
      </c>
      <c r="H158" s="3" t="str">
        <f>IFERROR(MID(VLOOKUP($B158,Seqs!$A:$B,2,0),I158,1),"")</f>
        <v>T</v>
      </c>
      <c r="I158" s="57">
        <v>607</v>
      </c>
      <c r="J158" s="3" t="str">
        <f>IFERROR(MID(VLOOKUP($B158,Seqs!$A:$B,2,0),K158,1),"")</f>
        <v>S</v>
      </c>
      <c r="K158" s="57">
        <v>613</v>
      </c>
      <c r="L158" s="3" t="str">
        <f>IFERROR(MID(VLOOKUP($B158,Seqs!$A:$B,2,0),M158,1),"")</f>
        <v>S</v>
      </c>
      <c r="M158" s="3">
        <v>614</v>
      </c>
      <c r="N158" s="3" t="str">
        <f>IFERROR(MID(VLOOKUP($B158,Seqs!$A:$B,2,0),O158,1),"")</f>
        <v>I</v>
      </c>
      <c r="O158" s="3">
        <v>636</v>
      </c>
      <c r="P158" s="3" t="str">
        <f>IFERROR(MID(VLOOKUP($B158,Seqs!$A:$B,2,0),Q158,1),"")</f>
        <v/>
      </c>
      <c r="Q158" s="3" t="s">
        <v>129</v>
      </c>
      <c r="R158" s="3" t="str">
        <f>IFERROR(MID(VLOOKUP($B158,Seqs!$A:$B,2,0),S158,1),"")</f>
        <v/>
      </c>
      <c r="S158" s="3" t="s">
        <v>129</v>
      </c>
      <c r="T158" s="3" t="str">
        <f>IFERROR(MID(VLOOKUP($B158,Seqs!$A:$B,2,0),U158,1),"")</f>
        <v>Q</v>
      </c>
      <c r="U158" s="3">
        <v>641</v>
      </c>
      <c r="V158" s="3" t="str">
        <f>IFERROR(MID(VLOOKUP($B158,Seqs!$A:$B,2,0),W158,1),"")</f>
        <v>K</v>
      </c>
      <c r="W158" s="3">
        <v>678</v>
      </c>
      <c r="X158" s="3" t="str">
        <f>IFERROR(MID(VLOOKUP($B158,Seqs!$A:$B,2,0),Y158,1),"")</f>
        <v/>
      </c>
      <c r="Y158" s="3" t="s">
        <v>129</v>
      </c>
      <c r="Z158" s="3" t="str">
        <f>IFERROR(MID(VLOOKUP($B158,Seqs!$A:$B,2,0),AA158,1),"")</f>
        <v/>
      </c>
      <c r="AA158" s="3" t="s">
        <v>129</v>
      </c>
      <c r="AB158" s="3" t="str">
        <f>IFERROR(MID(VLOOKUP($B158,Seqs!$A:$B,2,0),AC158,1),"")</f>
        <v>A</v>
      </c>
      <c r="AC158" s="3">
        <v>690</v>
      </c>
      <c r="AD158" s="3" t="str">
        <f>IFERROR(MID(VLOOKUP($B158,Seqs!$A:$B,2,0),AE158,1),"")</f>
        <v>E</v>
      </c>
      <c r="AE158" s="3">
        <v>715</v>
      </c>
      <c r="AF158" s="3" t="str">
        <f>IFERROR(MID(VLOOKUP($B158,Seqs!$A:$B,2,0),AG158,1),"")</f>
        <v>C</v>
      </c>
      <c r="AG158" s="3">
        <v>733</v>
      </c>
      <c r="AH158" s="3" t="str">
        <f>IFERROR(MID(VLOOKUP($B158,Seqs!$A:$B,2,0),AI158,1),"")</f>
        <v>T</v>
      </c>
      <c r="AI158" s="3">
        <v>735</v>
      </c>
      <c r="AJ158" s="3" t="str">
        <f>IFERROR(MID(VLOOKUP($B158,Seqs!$A:$B,2,0),AK158,1),"")</f>
        <v>N</v>
      </c>
      <c r="AK158" s="3">
        <v>737</v>
      </c>
      <c r="AL158" s="3" t="str">
        <f>IFERROR(MID(VLOOKUP($B158,Seqs!$A:$B,2,0),AM158,1),"")</f>
        <v>T</v>
      </c>
      <c r="AM158" s="3">
        <v>761</v>
      </c>
      <c r="AN158" s="3" t="str">
        <f>IFERROR(MID(VLOOKUP($B158,Seqs!$A:$B,2,0),AO158,1),"")</f>
        <v>E</v>
      </c>
      <c r="AO158" s="3">
        <v>770</v>
      </c>
      <c r="AP158" s="3" t="str">
        <f>IFERROR(MID(VLOOKUP($B158,Seqs!$A:$B,2,0),AQ158,1),"")</f>
        <v>G</v>
      </c>
      <c r="AQ158" s="3">
        <v>794</v>
      </c>
      <c r="AR158" s="3" t="str">
        <f>IFERROR(MID(VLOOKUP($B158,Seqs!$A:$B,2,0),AS158,1),"")</f>
        <v>K</v>
      </c>
      <c r="AS158" s="3">
        <v>798</v>
      </c>
      <c r="AT158" s="3" t="str">
        <f>IFERROR(MID(VLOOKUP($B158,Seqs!$A:$B,2,0),AU158,1),"")</f>
        <v>A</v>
      </c>
      <c r="AU158" s="3">
        <v>827</v>
      </c>
      <c r="AV158" s="3" t="str">
        <f>IFERROR(MID(VLOOKUP($B158,Seqs!$A:$B,2,0),AW158,1),"")</f>
        <v>K</v>
      </c>
      <c r="AW158" s="3">
        <v>828</v>
      </c>
      <c r="AX158" s="3" t="str">
        <f>IFERROR(MID(VLOOKUP($B158,Seqs!$A:$B,2,0),AY158,1),"")</f>
        <v>N</v>
      </c>
      <c r="AY158" s="3">
        <v>832</v>
      </c>
      <c r="BA158" s="124" t="str">
        <f>VLOOKUP(B158,Classification!A:D,2,0)</f>
        <v>C</v>
      </c>
      <c r="BD158" s="5"/>
      <c r="BE158" s="57">
        <f t="shared" si="141"/>
        <v>211</v>
      </c>
      <c r="BF158" s="63" t="b">
        <f t="shared" si="142"/>
        <v>1</v>
      </c>
      <c r="BG158" s="116" t="s">
        <v>1513</v>
      </c>
      <c r="BH158" s="102" t="s">
        <v>1513</v>
      </c>
      <c r="BI158" s="102" t="s">
        <v>1513</v>
      </c>
      <c r="BJ158" s="102" t="s">
        <v>1513</v>
      </c>
      <c r="BK158" s="102" t="s">
        <v>1513</v>
      </c>
      <c r="BL158" s="102" t="s">
        <v>1513</v>
      </c>
      <c r="BM158" s="102" t="s">
        <v>1513</v>
      </c>
      <c r="BN158" s="102" t="s">
        <v>1513</v>
      </c>
      <c r="BO158" s="102" t="s">
        <v>1513</v>
      </c>
      <c r="BP158" s="102" t="s">
        <v>1513</v>
      </c>
      <c r="BQ158" s="102" t="s">
        <v>1513</v>
      </c>
      <c r="BR158" s="102" t="s">
        <v>1513</v>
      </c>
      <c r="BS158" s="116">
        <f t="shared" si="143"/>
        <v>578</v>
      </c>
      <c r="BT158" s="117">
        <f t="shared" si="144"/>
        <v>607</v>
      </c>
      <c r="BU158" s="118">
        <f t="shared" si="145"/>
        <v>614</v>
      </c>
      <c r="BV158" s="117" t="str">
        <f t="shared" si="146"/>
        <v>-</v>
      </c>
      <c r="BW158" s="118">
        <f t="shared" si="147"/>
        <v>641</v>
      </c>
      <c r="BX158" s="117" t="str">
        <f t="shared" si="148"/>
        <v>-</v>
      </c>
      <c r="BY158" s="118">
        <f t="shared" si="149"/>
        <v>690</v>
      </c>
      <c r="BZ158" s="117">
        <f t="shared" si="150"/>
        <v>733</v>
      </c>
      <c r="CA158" s="118">
        <f t="shared" si="151"/>
        <v>737</v>
      </c>
      <c r="CB158" s="117">
        <f t="shared" si="152"/>
        <v>770</v>
      </c>
      <c r="CC158" s="118">
        <f t="shared" si="153"/>
        <v>798</v>
      </c>
      <c r="CD158" s="117">
        <f t="shared" si="154"/>
        <v>828</v>
      </c>
      <c r="CE158" s="116">
        <f t="shared" si="155"/>
        <v>604</v>
      </c>
      <c r="CF158" s="117">
        <f t="shared" si="156"/>
        <v>613</v>
      </c>
      <c r="CG158" s="118">
        <f t="shared" si="157"/>
        <v>636</v>
      </c>
      <c r="CH158" s="118" t="str">
        <f t="shared" si="158"/>
        <v>-</v>
      </c>
      <c r="CI158" s="118">
        <f t="shared" si="159"/>
        <v>678</v>
      </c>
      <c r="CJ158" s="118" t="str">
        <f t="shared" si="160"/>
        <v>-</v>
      </c>
      <c r="CK158" s="118">
        <f t="shared" si="161"/>
        <v>715</v>
      </c>
      <c r="CL158" s="118">
        <f t="shared" si="162"/>
        <v>735</v>
      </c>
      <c r="CM158" s="118">
        <f t="shared" si="163"/>
        <v>761</v>
      </c>
      <c r="CN158" s="118">
        <f t="shared" si="164"/>
        <v>794</v>
      </c>
      <c r="CO158" s="118">
        <f t="shared" si="165"/>
        <v>827</v>
      </c>
      <c r="CP158" s="118">
        <f t="shared" si="166"/>
        <v>832</v>
      </c>
      <c r="CQ158" s="57">
        <f t="shared" si="167"/>
        <v>1</v>
      </c>
    </row>
    <row r="159" spans="1:1026" s="23" customFormat="1" x14ac:dyDescent="0.2">
      <c r="A159" s="3" t="str">
        <f t="shared" si="140"/>
        <v>grm5_human_5CGD</v>
      </c>
      <c r="B159" s="3" t="s">
        <v>224</v>
      </c>
      <c r="C159" s="3" t="s">
        <v>249</v>
      </c>
      <c r="D159" s="3" t="str">
        <f>IFERROR(MID(VLOOKUP($B159,Seqs!$A:$B,2,0),E159,1),"")</f>
        <v>P</v>
      </c>
      <c r="E159" s="3">
        <v>578</v>
      </c>
      <c r="F159" s="3" t="str">
        <f>IFERROR(MID(VLOOKUP($B159,Seqs!$A:$B,2,0),G159,1),"")</f>
        <v>Y</v>
      </c>
      <c r="G159" s="3">
        <v>604</v>
      </c>
      <c r="H159" s="3" t="str">
        <f>IFERROR(MID(VLOOKUP($B159,Seqs!$A:$B,2,0),I159,1),"")</f>
        <v>T</v>
      </c>
      <c r="I159" s="57">
        <v>607</v>
      </c>
      <c r="J159" s="3" t="str">
        <f>IFERROR(MID(VLOOKUP($B159,Seqs!$A:$B,2,0),K159,1),"")</f>
        <v>S</v>
      </c>
      <c r="K159" s="57">
        <v>613</v>
      </c>
      <c r="L159" s="3" t="str">
        <f>IFERROR(MID(VLOOKUP($B159,Seqs!$A:$B,2,0),M159,1),"")</f>
        <v>S</v>
      </c>
      <c r="M159" s="3">
        <v>614</v>
      </c>
      <c r="N159" s="3" t="str">
        <f>IFERROR(MID(VLOOKUP($B159,Seqs!$A:$B,2,0),O159,1),"")</f>
        <v>I</v>
      </c>
      <c r="O159" s="3">
        <v>636</v>
      </c>
      <c r="P159" s="3" t="str">
        <f>IFERROR(MID(VLOOKUP($B159,Seqs!$A:$B,2,0),Q159,1),"")</f>
        <v/>
      </c>
      <c r="Q159" s="3" t="s">
        <v>129</v>
      </c>
      <c r="R159" s="3" t="str">
        <f>IFERROR(MID(VLOOKUP($B159,Seqs!$A:$B,2,0),S159,1),"")</f>
        <v/>
      </c>
      <c r="S159" s="3" t="s">
        <v>129</v>
      </c>
      <c r="T159" s="3" t="str">
        <f>IFERROR(MID(VLOOKUP($B159,Seqs!$A:$B,2,0),U159,1),"")</f>
        <v>Q</v>
      </c>
      <c r="U159" s="3">
        <v>641</v>
      </c>
      <c r="V159" s="3" t="str">
        <f>IFERROR(MID(VLOOKUP($B159,Seqs!$A:$B,2,0),W159,1),"")</f>
        <v>K</v>
      </c>
      <c r="W159" s="3">
        <v>678</v>
      </c>
      <c r="X159" s="3" t="str">
        <f>IFERROR(MID(VLOOKUP($B159,Seqs!$A:$B,2,0),Y159,1),"")</f>
        <v/>
      </c>
      <c r="Y159" s="3" t="s">
        <v>129</v>
      </c>
      <c r="Z159" s="3" t="str">
        <f>IFERROR(MID(VLOOKUP($B159,Seqs!$A:$B,2,0),AA159,1),"")</f>
        <v/>
      </c>
      <c r="AA159" s="3" t="s">
        <v>129</v>
      </c>
      <c r="AB159" s="3" t="str">
        <f>IFERROR(MID(VLOOKUP($B159,Seqs!$A:$B,2,0),AC159,1),"")</f>
        <v>A</v>
      </c>
      <c r="AC159" s="3">
        <v>690</v>
      </c>
      <c r="AD159" s="3" t="str">
        <f>IFERROR(MID(VLOOKUP($B159,Seqs!$A:$B,2,0),AE159,1),"")</f>
        <v>E</v>
      </c>
      <c r="AE159" s="3">
        <v>715</v>
      </c>
      <c r="AF159" s="3" t="str">
        <f>IFERROR(MID(VLOOKUP($B159,Seqs!$A:$B,2,0),AG159,1),"")</f>
        <v>C</v>
      </c>
      <c r="AG159" s="3">
        <v>733</v>
      </c>
      <c r="AH159" s="3" t="str">
        <f>IFERROR(MID(VLOOKUP($B159,Seqs!$A:$B,2,0),AI159,1),"")</f>
        <v>T</v>
      </c>
      <c r="AI159" s="3">
        <v>735</v>
      </c>
      <c r="AJ159" s="3" t="str">
        <f>IFERROR(MID(VLOOKUP($B159,Seqs!$A:$B,2,0),AK159,1),"")</f>
        <v>N</v>
      </c>
      <c r="AK159" s="3">
        <v>737</v>
      </c>
      <c r="AL159" s="3" t="str">
        <f>IFERROR(MID(VLOOKUP($B159,Seqs!$A:$B,2,0),AM159,1),"")</f>
        <v>T</v>
      </c>
      <c r="AM159" s="3">
        <v>761</v>
      </c>
      <c r="AN159" s="3" t="str">
        <f>IFERROR(MID(VLOOKUP($B159,Seqs!$A:$B,2,0),AO159,1),"")</f>
        <v>E</v>
      </c>
      <c r="AO159" s="3">
        <v>770</v>
      </c>
      <c r="AP159" s="3" t="str">
        <f>IFERROR(MID(VLOOKUP($B159,Seqs!$A:$B,2,0),AQ159,1),"")</f>
        <v>G</v>
      </c>
      <c r="AQ159" s="3">
        <v>794</v>
      </c>
      <c r="AR159" s="3" t="str">
        <f>IFERROR(MID(VLOOKUP($B159,Seqs!$A:$B,2,0),AS159,1),"")</f>
        <v>K</v>
      </c>
      <c r="AS159" s="3">
        <v>798</v>
      </c>
      <c r="AT159" s="3" t="str">
        <f>IFERROR(MID(VLOOKUP($B159,Seqs!$A:$B,2,0),AU159,1),"")</f>
        <v>A</v>
      </c>
      <c r="AU159" s="3">
        <v>827</v>
      </c>
      <c r="AV159" s="3" t="str">
        <f>IFERROR(MID(VLOOKUP($B159,Seqs!$A:$B,2,0),AW159,1),"")</f>
        <v>K</v>
      </c>
      <c r="AW159" s="3">
        <v>828</v>
      </c>
      <c r="AX159" s="3" t="str">
        <f>IFERROR(MID(VLOOKUP($B159,Seqs!$A:$B,2,0),AY159,1),"")</f>
        <v>R</v>
      </c>
      <c r="AY159" s="3">
        <v>831</v>
      </c>
      <c r="AZ159" s="90"/>
      <c r="BA159" s="124" t="str">
        <f>VLOOKUP(B159,Classification!A:D,2,0)</f>
        <v>C</v>
      </c>
      <c r="BB159" s="90"/>
      <c r="BC159" s="3"/>
      <c r="BD159" s="1"/>
      <c r="BE159" s="57">
        <f t="shared" si="141"/>
        <v>210</v>
      </c>
      <c r="BF159" s="63" t="b">
        <f t="shared" si="142"/>
        <v>1</v>
      </c>
      <c r="BG159" s="116" t="s">
        <v>1513</v>
      </c>
      <c r="BH159" s="102" t="s">
        <v>1513</v>
      </c>
      <c r="BI159" s="102" t="s">
        <v>1513</v>
      </c>
      <c r="BJ159" s="102" t="s">
        <v>1513</v>
      </c>
      <c r="BK159" s="102" t="s">
        <v>1513</v>
      </c>
      <c r="BL159" s="102" t="s">
        <v>1513</v>
      </c>
      <c r="BM159" s="102" t="s">
        <v>1513</v>
      </c>
      <c r="BN159" s="102" t="s">
        <v>1513</v>
      </c>
      <c r="BO159" s="102" t="s">
        <v>1513</v>
      </c>
      <c r="BP159" s="102" t="s">
        <v>1513</v>
      </c>
      <c r="BQ159" s="102" t="s">
        <v>1513</v>
      </c>
      <c r="BR159" s="102" t="s">
        <v>1513</v>
      </c>
      <c r="BS159" s="116">
        <f t="shared" si="143"/>
        <v>578</v>
      </c>
      <c r="BT159" s="117">
        <f t="shared" si="144"/>
        <v>607</v>
      </c>
      <c r="BU159" s="118">
        <f t="shared" si="145"/>
        <v>614</v>
      </c>
      <c r="BV159" s="117" t="str">
        <f t="shared" si="146"/>
        <v>-</v>
      </c>
      <c r="BW159" s="118">
        <f t="shared" si="147"/>
        <v>641</v>
      </c>
      <c r="BX159" s="117" t="str">
        <f t="shared" si="148"/>
        <v>-</v>
      </c>
      <c r="BY159" s="118">
        <f t="shared" si="149"/>
        <v>690</v>
      </c>
      <c r="BZ159" s="117">
        <f t="shared" si="150"/>
        <v>733</v>
      </c>
      <c r="CA159" s="118">
        <f t="shared" si="151"/>
        <v>737</v>
      </c>
      <c r="CB159" s="117">
        <f t="shared" si="152"/>
        <v>770</v>
      </c>
      <c r="CC159" s="118">
        <f t="shared" si="153"/>
        <v>798</v>
      </c>
      <c r="CD159" s="117">
        <f t="shared" si="154"/>
        <v>828</v>
      </c>
      <c r="CE159" s="116">
        <f t="shared" si="155"/>
        <v>604</v>
      </c>
      <c r="CF159" s="117">
        <f t="shared" si="156"/>
        <v>613</v>
      </c>
      <c r="CG159" s="118">
        <f t="shared" si="157"/>
        <v>636</v>
      </c>
      <c r="CH159" s="118" t="str">
        <f t="shared" si="158"/>
        <v>-</v>
      </c>
      <c r="CI159" s="118">
        <f t="shared" si="159"/>
        <v>678</v>
      </c>
      <c r="CJ159" s="118" t="str">
        <f t="shared" si="160"/>
        <v>-</v>
      </c>
      <c r="CK159" s="118">
        <f t="shared" si="161"/>
        <v>715</v>
      </c>
      <c r="CL159" s="118">
        <f t="shared" si="162"/>
        <v>735</v>
      </c>
      <c r="CM159" s="118">
        <f t="shared" si="163"/>
        <v>761</v>
      </c>
      <c r="CN159" s="118">
        <f t="shared" si="164"/>
        <v>794</v>
      </c>
      <c r="CO159" s="118">
        <f t="shared" si="165"/>
        <v>827</v>
      </c>
      <c r="CP159" s="118">
        <f t="shared" si="166"/>
        <v>831</v>
      </c>
      <c r="CQ159" s="57">
        <f t="shared" si="167"/>
        <v>1</v>
      </c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</row>
    <row r="160" spans="1:1026" x14ac:dyDescent="0.2">
      <c r="A160" s="3" t="str">
        <f t="shared" si="140"/>
        <v>smo_human__wt</v>
      </c>
      <c r="B160" s="3" t="s">
        <v>207</v>
      </c>
      <c r="C160" s="3" t="s">
        <v>293</v>
      </c>
      <c r="D160" s="3" t="str">
        <f>IFERROR(MID(VLOOKUP($B160,Seqs!$A:$B,2,0),E160,1),"")</f>
        <v>E</v>
      </c>
      <c r="E160" s="3">
        <v>224</v>
      </c>
      <c r="F160" s="3" t="str">
        <f>IFERROR(MID(VLOOKUP($B160,Seqs!$A:$B,2,0),G160,1),"")</f>
        <v>D</v>
      </c>
      <c r="G160" s="3">
        <v>255</v>
      </c>
      <c r="H160" s="3" t="str">
        <f>IFERROR(MID(VLOOKUP($B160,Seqs!$A:$B,2,0),I160,1),"")</f>
        <v>W</v>
      </c>
      <c r="I160" s="57">
        <v>256</v>
      </c>
      <c r="J160" s="3" t="str">
        <f>IFERROR(MID(VLOOKUP($B160,Seqs!$A:$B,2,0),K160,1),"")</f>
        <v>N</v>
      </c>
      <c r="K160" s="57">
        <v>260</v>
      </c>
      <c r="L160" s="3" t="str">
        <f>IFERROR(MID(VLOOKUP($B160,Seqs!$A:$B,2,0),M160,1),"")</f>
        <v>R</v>
      </c>
      <c r="M160" s="3">
        <v>261</v>
      </c>
      <c r="N160" s="3" t="str">
        <f>IFERROR(MID(VLOOKUP($B160,Seqs!$A:$B,2,0),O160,1),"")</f>
        <v>F</v>
      </c>
      <c r="O160" s="3">
        <v>285</v>
      </c>
      <c r="P160" s="3" t="str">
        <f>IFERROR(MID(VLOOKUP($B160,Seqs!$A:$B,2,0),Q160,1),"")</f>
        <v/>
      </c>
      <c r="Q160" s="3" t="s">
        <v>129</v>
      </c>
      <c r="R160" s="3" t="str">
        <f>IFERROR(MID(VLOOKUP($B160,Seqs!$A:$B,2,0),S160,1),"")</f>
        <v/>
      </c>
      <c r="S160" s="3" t="s">
        <v>129</v>
      </c>
      <c r="T160" s="3" t="str">
        <f>IFERROR(MID(VLOOKUP($B160,Seqs!$A:$B,2,0),U160,1),"")</f>
        <v>L</v>
      </c>
      <c r="U160" s="3">
        <v>312</v>
      </c>
      <c r="V160" s="3" t="str">
        <f>IFERROR(MID(VLOOKUP($B160,Seqs!$A:$B,2,0),W160,1),"")</f>
        <v>T</v>
      </c>
      <c r="W160" s="3">
        <v>348</v>
      </c>
      <c r="X160" s="3" t="str">
        <f>IFERROR(MID(VLOOKUP($B160,Seqs!$A:$B,2,0),Y160,1),"")</f>
        <v/>
      </c>
      <c r="Y160" s="3" t="s">
        <v>129</v>
      </c>
      <c r="Z160" s="3" t="str">
        <f>IFERROR(MID(VLOOKUP($B160,Seqs!$A:$B,2,0),AA160,1),"")</f>
        <v/>
      </c>
      <c r="AA160" s="3" t="s">
        <v>129</v>
      </c>
      <c r="AB160" s="3" t="str">
        <f>IFERROR(MID(VLOOKUP($B160,Seqs!$A:$B,2,0),AC160,1),"")</f>
        <v>L</v>
      </c>
      <c r="AC160" s="3">
        <v>353</v>
      </c>
      <c r="AD160" s="3" t="str">
        <f>IFERROR(MID(VLOOKUP($B160,Seqs!$A:$B,2,0),AE160,1),"")</f>
        <v>V</v>
      </c>
      <c r="AE160" s="3">
        <v>378</v>
      </c>
      <c r="AF160" s="3" t="str">
        <f>IFERROR(MID(VLOOKUP($B160,Seqs!$A:$B,2,0),AG160,1),"")</f>
        <v>C</v>
      </c>
      <c r="AG160" s="3">
        <v>390</v>
      </c>
      <c r="AH160" s="3" t="str">
        <f>IFERROR(MID(VLOOKUP($B160,Seqs!$A:$B,2,0),AI160,1),"")</f>
        <v>V</v>
      </c>
      <c r="AI160" s="3">
        <v>392</v>
      </c>
      <c r="AJ160" s="3" t="str">
        <f>IFERROR(MID(VLOOKUP($B160,Seqs!$A:$B,2,0),AK160,1),"")</f>
        <v>Y</v>
      </c>
      <c r="AK160" s="3">
        <v>397</v>
      </c>
      <c r="AL160" s="3" t="str">
        <f>IFERROR(MID(VLOOKUP($B160,Seqs!$A:$B,2,0),AM160,1),"")</f>
        <v>H</v>
      </c>
      <c r="AM160" s="3">
        <v>433</v>
      </c>
      <c r="AN160" s="3" t="str">
        <f>IFERROR(MID(VLOOKUP($B160,Seqs!$A:$B,2,0),AO160,1),"")</f>
        <v>S</v>
      </c>
      <c r="AO160" s="3">
        <v>443</v>
      </c>
      <c r="AP160" s="3" t="str">
        <f>IFERROR(MID(VLOOKUP($B160,Seqs!$A:$B,2,0),AQ160,1),"")</f>
        <v>I</v>
      </c>
      <c r="AQ160" s="127">
        <v>496</v>
      </c>
      <c r="AR160" s="3" t="str">
        <f>IFERROR(MID(VLOOKUP($B160,Seqs!$A:$B,2,0),AS160,1),"")</f>
        <v>L</v>
      </c>
      <c r="AS160" s="3">
        <v>515</v>
      </c>
      <c r="AT160" s="3" t="str">
        <f>IFERROR(MID(VLOOKUP($B160,Seqs!$A:$B,2,0),AU160,1),"")</f>
        <v>W</v>
      </c>
      <c r="AU160" s="3">
        <v>537</v>
      </c>
      <c r="AV160" s="3" t="str">
        <f>IFERROR(MID(VLOOKUP($B160,Seqs!$A:$B,2,0),AW160,1),"")</f>
        <v>T</v>
      </c>
      <c r="AW160" s="3">
        <v>538</v>
      </c>
      <c r="AX160" s="3" t="str">
        <f>IFERROR(MID(VLOOKUP($B160,Seqs!$A:$B,2,0),AY160,1),"")</f>
        <v>T</v>
      </c>
      <c r="AY160" s="3">
        <v>553</v>
      </c>
      <c r="BA160" s="124" t="str">
        <f>VLOOKUP(B160,Classification!A:D,2,0)</f>
        <v>F</v>
      </c>
      <c r="BD160" s="72" t="e">
        <f>S160-Q160+1</f>
        <v>#VALUE!</v>
      </c>
      <c r="BE160" s="57">
        <f t="shared" si="141"/>
        <v>260</v>
      </c>
      <c r="BF160" s="63" t="b">
        <f t="shared" si="142"/>
        <v>1</v>
      </c>
      <c r="BG160" s="116" t="s">
        <v>1513</v>
      </c>
      <c r="BH160" s="102" t="s">
        <v>1513</v>
      </c>
      <c r="BI160" s="102" t="s">
        <v>1513</v>
      </c>
      <c r="BJ160" s="102" t="s">
        <v>1513</v>
      </c>
      <c r="BK160" s="102" t="s">
        <v>1513</v>
      </c>
      <c r="BL160" s="102" t="s">
        <v>1513</v>
      </c>
      <c r="BM160" s="102" t="s">
        <v>1513</v>
      </c>
      <c r="BN160" s="102" t="s">
        <v>1513</v>
      </c>
      <c r="BO160" s="102" t="s">
        <v>1513</v>
      </c>
      <c r="BP160" s="102" t="s">
        <v>1513</v>
      </c>
      <c r="BQ160" s="102" t="s">
        <v>1513</v>
      </c>
      <c r="BR160" s="102" t="s">
        <v>1513</v>
      </c>
      <c r="BS160" s="116">
        <f t="shared" si="143"/>
        <v>224</v>
      </c>
      <c r="BT160" s="117">
        <f t="shared" si="144"/>
        <v>256</v>
      </c>
      <c r="BU160" s="118">
        <f t="shared" si="145"/>
        <v>261</v>
      </c>
      <c r="BV160" s="117" t="str">
        <f t="shared" si="146"/>
        <v>-</v>
      </c>
      <c r="BW160" s="118">
        <f t="shared" si="147"/>
        <v>312</v>
      </c>
      <c r="BX160" s="117" t="str">
        <f t="shared" si="148"/>
        <v>-</v>
      </c>
      <c r="BY160" s="118">
        <f t="shared" si="149"/>
        <v>353</v>
      </c>
      <c r="BZ160" s="117">
        <f t="shared" si="150"/>
        <v>390</v>
      </c>
      <c r="CA160" s="118">
        <f t="shared" si="151"/>
        <v>397</v>
      </c>
      <c r="CB160" s="117">
        <f t="shared" si="152"/>
        <v>443</v>
      </c>
      <c r="CC160" s="118">
        <f t="shared" si="153"/>
        <v>515</v>
      </c>
      <c r="CD160" s="117">
        <f t="shared" si="154"/>
        <v>538</v>
      </c>
      <c r="CE160" s="116">
        <f t="shared" si="155"/>
        <v>255</v>
      </c>
      <c r="CF160" s="117">
        <f t="shared" si="156"/>
        <v>260</v>
      </c>
      <c r="CG160" s="118">
        <f t="shared" si="157"/>
        <v>285</v>
      </c>
      <c r="CH160" s="118" t="str">
        <f t="shared" si="158"/>
        <v>-</v>
      </c>
      <c r="CI160" s="118">
        <f t="shared" si="159"/>
        <v>348</v>
      </c>
      <c r="CJ160" s="118" t="str">
        <f t="shared" si="160"/>
        <v>-</v>
      </c>
      <c r="CK160" s="118">
        <f t="shared" si="161"/>
        <v>378</v>
      </c>
      <c r="CL160" s="118">
        <f t="shared" si="162"/>
        <v>392</v>
      </c>
      <c r="CM160" s="118">
        <f t="shared" si="163"/>
        <v>433</v>
      </c>
      <c r="CN160" s="118">
        <f t="shared" si="164"/>
        <v>496</v>
      </c>
      <c r="CO160" s="118">
        <f t="shared" si="165"/>
        <v>537</v>
      </c>
      <c r="CP160" s="118">
        <f t="shared" si="166"/>
        <v>553</v>
      </c>
      <c r="CQ160" s="57">
        <f t="shared" si="167"/>
        <v>1</v>
      </c>
    </row>
    <row r="161" spans="1:95" x14ac:dyDescent="0.2">
      <c r="A161" s="3" t="str">
        <f t="shared" si="140"/>
        <v>smo_human_4N4W</v>
      </c>
      <c r="B161" s="3" t="s">
        <v>207</v>
      </c>
      <c r="C161" s="3" t="s">
        <v>1253</v>
      </c>
      <c r="D161" s="3" t="str">
        <f>IFERROR(MID(VLOOKUP($B161,Seqs!$A:$B,2,0),E161,1),"")</f>
        <v>E</v>
      </c>
      <c r="E161" s="3">
        <v>224</v>
      </c>
      <c r="F161" s="3" t="str">
        <f>IFERROR(MID(VLOOKUP($B161,Seqs!$A:$B,2,0),G161,1),"")</f>
        <v>D</v>
      </c>
      <c r="G161" s="3">
        <v>255</v>
      </c>
      <c r="H161" s="3" t="str">
        <f>IFERROR(MID(VLOOKUP($B161,Seqs!$A:$B,2,0),I161,1),"")</f>
        <v>W</v>
      </c>
      <c r="I161" s="57">
        <v>256</v>
      </c>
      <c r="J161" s="3" t="str">
        <f>IFERROR(MID(VLOOKUP($B161,Seqs!$A:$B,2,0),K161,1),"")</f>
        <v>N</v>
      </c>
      <c r="K161" s="57">
        <v>260</v>
      </c>
      <c r="L161" s="3" t="str">
        <f>IFERROR(MID(VLOOKUP($B161,Seqs!$A:$B,2,0),M161,1),"")</f>
        <v>R</v>
      </c>
      <c r="M161" s="3">
        <v>261</v>
      </c>
      <c r="N161" s="3" t="str">
        <f>IFERROR(MID(VLOOKUP($B161,Seqs!$A:$B,2,0),O161,1),"")</f>
        <v>F</v>
      </c>
      <c r="O161" s="3">
        <v>285</v>
      </c>
      <c r="P161" s="3" t="str">
        <f>IFERROR(MID(VLOOKUP($B161,Seqs!$A:$B,2,0),Q161,1),"")</f>
        <v/>
      </c>
      <c r="Q161" s="3" t="s">
        <v>129</v>
      </c>
      <c r="R161" s="3" t="str">
        <f>IFERROR(MID(VLOOKUP($B161,Seqs!$A:$B,2,0),S161,1),"")</f>
        <v/>
      </c>
      <c r="S161" s="3" t="s">
        <v>129</v>
      </c>
      <c r="T161" s="3" t="str">
        <f>IFERROR(MID(VLOOKUP($B161,Seqs!$A:$B,2,0),U161,1),"")</f>
        <v>L</v>
      </c>
      <c r="U161" s="3">
        <v>312</v>
      </c>
      <c r="V161" s="3" t="str">
        <f>IFERROR(MID(VLOOKUP($B161,Seqs!$A:$B,2,0),W161,1),"")</f>
        <v>A</v>
      </c>
      <c r="W161" s="3">
        <v>345</v>
      </c>
      <c r="X161" s="3" t="str">
        <f>IFERROR(MID(VLOOKUP($B161,Seqs!$A:$B,2,0),Y161,1),"")</f>
        <v/>
      </c>
      <c r="Y161" s="3" t="s">
        <v>129</v>
      </c>
      <c r="Z161" s="3" t="str">
        <f>IFERROR(MID(VLOOKUP($B161,Seqs!$A:$B,2,0),AA161,1),"")</f>
        <v/>
      </c>
      <c r="AA161" s="3" t="s">
        <v>129</v>
      </c>
      <c r="AB161" s="3" t="str">
        <f>IFERROR(MID(VLOOKUP($B161,Seqs!$A:$B,2,0),AC161,1),"")</f>
        <v>K</v>
      </c>
      <c r="AC161" s="3">
        <v>356</v>
      </c>
      <c r="AD161" s="3" t="str">
        <f>IFERROR(MID(VLOOKUP($B161,Seqs!$A:$B,2,0),AE161,1),"")</f>
        <v>V</v>
      </c>
      <c r="AE161" s="3">
        <v>378</v>
      </c>
      <c r="AF161" s="3" t="str">
        <f>IFERROR(MID(VLOOKUP($B161,Seqs!$A:$B,2,0),AG161,1),"")</f>
        <v>C</v>
      </c>
      <c r="AG161" s="3">
        <v>390</v>
      </c>
      <c r="AH161" s="3" t="str">
        <f>IFERROR(MID(VLOOKUP($B161,Seqs!$A:$B,2,0),AI161,1),"")</f>
        <v>V</v>
      </c>
      <c r="AI161" s="3">
        <v>392</v>
      </c>
      <c r="AJ161" s="3" t="str">
        <f>IFERROR(MID(VLOOKUP($B161,Seqs!$A:$B,2,0),AK161,1),"")</f>
        <v>Y</v>
      </c>
      <c r="AK161" s="3">
        <v>397</v>
      </c>
      <c r="AL161" s="3" t="str">
        <f>IFERROR(MID(VLOOKUP($B161,Seqs!$A:$B,2,0),AM161,1),"")</f>
        <v>H</v>
      </c>
      <c r="AM161" s="3">
        <v>433</v>
      </c>
      <c r="AN161" s="3" t="str">
        <f>IFERROR(MID(VLOOKUP($B161,Seqs!$A:$B,2,0),AO161,1),"")</f>
        <v>S</v>
      </c>
      <c r="AO161" s="3">
        <v>443</v>
      </c>
      <c r="AP161" s="3" t="str">
        <f>IFERROR(MID(VLOOKUP($B161,Seqs!$A:$B,2,0),AQ161,1),"")</f>
        <v>Q</v>
      </c>
      <c r="AQ161" s="3">
        <v>491</v>
      </c>
      <c r="AR161" s="3" t="str">
        <f>IFERROR(MID(VLOOKUP($B161,Seqs!$A:$B,2,0),AS161,1),"")</f>
        <v>L</v>
      </c>
      <c r="AS161" s="3">
        <v>515</v>
      </c>
      <c r="AT161" s="3" t="str">
        <f>IFERROR(MID(VLOOKUP($B161,Seqs!$A:$B,2,0),AU161,1),"")</f>
        <v>W</v>
      </c>
      <c r="AU161" s="3">
        <v>537</v>
      </c>
      <c r="AV161" s="3" t="str">
        <f>IFERROR(MID(VLOOKUP($B161,Seqs!$A:$B,2,0),AW161,1),"")</f>
        <v>T</v>
      </c>
      <c r="AW161" s="3">
        <v>538</v>
      </c>
      <c r="AX161" s="3" t="str">
        <f>IFERROR(MID(VLOOKUP($B161,Seqs!$A:$B,2,0),AY161,1),"")</f>
        <v>L</v>
      </c>
      <c r="AY161" s="3">
        <v>552</v>
      </c>
      <c r="BA161" s="124" t="str">
        <f>VLOOKUP(B161,Classification!A:D,2,0)</f>
        <v>F</v>
      </c>
      <c r="BD161" s="120" t="s">
        <v>1314</v>
      </c>
      <c r="BE161" s="57">
        <f t="shared" si="141"/>
        <v>248</v>
      </c>
      <c r="BF161" s="63" t="b">
        <f t="shared" si="142"/>
        <v>1</v>
      </c>
      <c r="BG161" s="116" t="s">
        <v>1513</v>
      </c>
      <c r="BH161" s="102" t="s">
        <v>1513</v>
      </c>
      <c r="BI161" s="102" t="s">
        <v>1513</v>
      </c>
      <c r="BJ161" s="102" t="s">
        <v>1513</v>
      </c>
      <c r="BK161" s="102" t="s">
        <v>1513</v>
      </c>
      <c r="BL161" s="102" t="s">
        <v>1513</v>
      </c>
      <c r="BM161" s="102" t="s">
        <v>1513</v>
      </c>
      <c r="BN161" s="102" t="s">
        <v>1513</v>
      </c>
      <c r="BO161" s="102" t="s">
        <v>1513</v>
      </c>
      <c r="BP161" s="102" t="s">
        <v>1513</v>
      </c>
      <c r="BQ161" s="102" t="s">
        <v>1513</v>
      </c>
      <c r="BR161" s="102" t="s">
        <v>1513</v>
      </c>
      <c r="BS161" s="116">
        <f t="shared" si="143"/>
        <v>224</v>
      </c>
      <c r="BT161" s="117">
        <f t="shared" si="144"/>
        <v>256</v>
      </c>
      <c r="BU161" s="118">
        <f t="shared" si="145"/>
        <v>261</v>
      </c>
      <c r="BV161" s="117" t="str">
        <f t="shared" si="146"/>
        <v>-</v>
      </c>
      <c r="BW161" s="118">
        <f t="shared" si="147"/>
        <v>312</v>
      </c>
      <c r="BX161" s="117" t="str">
        <f t="shared" si="148"/>
        <v>-</v>
      </c>
      <c r="BY161" s="118">
        <f t="shared" si="149"/>
        <v>356</v>
      </c>
      <c r="BZ161" s="117">
        <f t="shared" si="150"/>
        <v>390</v>
      </c>
      <c r="CA161" s="118">
        <f t="shared" si="151"/>
        <v>397</v>
      </c>
      <c r="CB161" s="117">
        <f t="shared" si="152"/>
        <v>443</v>
      </c>
      <c r="CC161" s="118">
        <f t="shared" si="153"/>
        <v>515</v>
      </c>
      <c r="CD161" s="117">
        <f t="shared" si="154"/>
        <v>538</v>
      </c>
      <c r="CE161" s="116">
        <f t="shared" si="155"/>
        <v>255</v>
      </c>
      <c r="CF161" s="117">
        <f t="shared" si="156"/>
        <v>260</v>
      </c>
      <c r="CG161" s="118">
        <f t="shared" si="157"/>
        <v>285</v>
      </c>
      <c r="CH161" s="118" t="str">
        <f t="shared" si="158"/>
        <v>-</v>
      </c>
      <c r="CI161" s="118">
        <f t="shared" si="159"/>
        <v>345</v>
      </c>
      <c r="CJ161" s="118" t="str">
        <f t="shared" si="160"/>
        <v>-</v>
      </c>
      <c r="CK161" s="118">
        <f t="shared" si="161"/>
        <v>378</v>
      </c>
      <c r="CL161" s="118">
        <f t="shared" si="162"/>
        <v>392</v>
      </c>
      <c r="CM161" s="118">
        <f t="shared" si="163"/>
        <v>433</v>
      </c>
      <c r="CN161" s="118">
        <f t="shared" si="164"/>
        <v>491</v>
      </c>
      <c r="CO161" s="118">
        <f t="shared" si="165"/>
        <v>537</v>
      </c>
      <c r="CP161" s="118">
        <f t="shared" si="166"/>
        <v>552</v>
      </c>
      <c r="CQ161" s="57">
        <f t="shared" si="167"/>
        <v>1</v>
      </c>
    </row>
    <row r="162" spans="1:95" x14ac:dyDescent="0.2">
      <c r="A162" s="3" t="str">
        <f t="shared" si="140"/>
        <v>smo_human_5L7D</v>
      </c>
      <c r="B162" s="3" t="s">
        <v>207</v>
      </c>
      <c r="C162" s="3" t="s">
        <v>1586</v>
      </c>
      <c r="D162" s="3" t="str">
        <f>IFERROR(MID(VLOOKUP($B162,Seqs!$A:$B,2,0),E162,1),"")</f>
        <v>E</v>
      </c>
      <c r="E162" s="3">
        <v>224</v>
      </c>
      <c r="F162" s="3" t="str">
        <f>IFERROR(MID(VLOOKUP($B162,Seqs!$A:$B,2,0),G162,1),"")</f>
        <v>D</v>
      </c>
      <c r="G162" s="3">
        <v>255</v>
      </c>
      <c r="H162" s="3" t="str">
        <f>IFERROR(MID(VLOOKUP($B162,Seqs!$A:$B,2,0),I162,1),"")</f>
        <v>W</v>
      </c>
      <c r="I162" s="57">
        <v>256</v>
      </c>
      <c r="J162" s="3" t="str">
        <f>IFERROR(MID(VLOOKUP($B162,Seqs!$A:$B,2,0),K162,1),"")</f>
        <v>N</v>
      </c>
      <c r="K162" s="57">
        <v>260</v>
      </c>
      <c r="L162" s="3" t="str">
        <f>IFERROR(MID(VLOOKUP($B162,Seqs!$A:$B,2,0),M162,1),"")</f>
        <v>R</v>
      </c>
      <c r="M162" s="3">
        <v>261</v>
      </c>
      <c r="N162" s="3" t="str">
        <f>IFERROR(MID(VLOOKUP($B162,Seqs!$A:$B,2,0),O162,1),"")</f>
        <v>F</v>
      </c>
      <c r="O162" s="3">
        <v>285</v>
      </c>
      <c r="P162" s="3" t="str">
        <f>IFERROR(MID(VLOOKUP($B162,Seqs!$A:$B,2,0),Q162,1),"")</f>
        <v/>
      </c>
      <c r="Q162" s="3" t="s">
        <v>129</v>
      </c>
      <c r="R162" s="3" t="str">
        <f>IFERROR(MID(VLOOKUP($B162,Seqs!$A:$B,2,0),S162,1),"")</f>
        <v/>
      </c>
      <c r="S162" s="3" t="s">
        <v>129</v>
      </c>
      <c r="T162" s="3" t="str">
        <f>IFERROR(MID(VLOOKUP($B162,Seqs!$A:$B,2,0),U162,1),"")</f>
        <v>L</v>
      </c>
      <c r="U162" s="3">
        <v>312</v>
      </c>
      <c r="V162" s="3" t="str">
        <f>IFERROR(MID(VLOOKUP($B162,Seqs!$A:$B,2,0),W162,1),"")</f>
        <v>L</v>
      </c>
      <c r="W162" s="3">
        <v>346</v>
      </c>
      <c r="X162" s="3" t="str">
        <f>IFERROR(MID(VLOOKUP($B162,Seqs!$A:$B,2,0),Y162,1),"")</f>
        <v/>
      </c>
      <c r="Y162" s="3" t="s">
        <v>129</v>
      </c>
      <c r="Z162" s="3" t="str">
        <f>IFERROR(MID(VLOOKUP($B162,Seqs!$A:$B,2,0),AA162,1),"")</f>
        <v/>
      </c>
      <c r="AA162" s="3" t="s">
        <v>129</v>
      </c>
      <c r="AB162" s="3" t="str">
        <f>IFERROR(MID(VLOOKUP($B162,Seqs!$A:$B,2,0),AC162,1),"")</f>
        <v>K</v>
      </c>
      <c r="AC162" s="3">
        <v>356</v>
      </c>
      <c r="AD162" s="3" t="str">
        <f>IFERROR(MID(VLOOKUP($B162,Seqs!$A:$B,2,0),AE162,1),"")</f>
        <v>V</v>
      </c>
      <c r="AE162" s="3">
        <v>378</v>
      </c>
      <c r="AF162" s="3" t="str">
        <f>IFERROR(MID(VLOOKUP($B162,Seqs!$A:$B,2,0),AG162,1),"")</f>
        <v>C</v>
      </c>
      <c r="AG162" s="3">
        <v>390</v>
      </c>
      <c r="AH162" s="3" t="str">
        <f>IFERROR(MID(VLOOKUP($B162,Seqs!$A:$B,2,0),AI162,1),"")</f>
        <v>V</v>
      </c>
      <c r="AI162" s="3">
        <v>392</v>
      </c>
      <c r="AJ162" s="3" t="str">
        <f>IFERROR(MID(VLOOKUP($B162,Seqs!$A:$B,2,0),AK162,1),"")</f>
        <v>Y</v>
      </c>
      <c r="AK162" s="3">
        <v>397</v>
      </c>
      <c r="AL162" s="3" t="str">
        <f>IFERROR(MID(VLOOKUP($B162,Seqs!$A:$B,2,0),AM162,1),"")</f>
        <v>S</v>
      </c>
      <c r="AM162" s="3">
        <v>428</v>
      </c>
      <c r="AN162" s="3" t="str">
        <f>IFERROR(MID(VLOOKUP($B162,Seqs!$A:$B,2,0),AO162,1),"")</f>
        <v>E</v>
      </c>
      <c r="AO162" s="3">
        <v>447</v>
      </c>
      <c r="AP162" s="3" t="str">
        <f>IFERROR(MID(VLOOKUP($B162,Seqs!$A:$B,2,0),AQ162,1),"")</f>
        <v>I</v>
      </c>
      <c r="AQ162" s="127">
        <v>496</v>
      </c>
      <c r="AR162" s="3" t="str">
        <f>IFERROR(MID(VLOOKUP($B162,Seqs!$A:$B,2,0),AS162,1),"")</f>
        <v>L</v>
      </c>
      <c r="AS162" s="3">
        <v>515</v>
      </c>
      <c r="AT162" s="3" t="str">
        <f>IFERROR(MID(VLOOKUP($B162,Seqs!$A:$B,2,0),AU162,1),"")</f>
        <v>W</v>
      </c>
      <c r="AU162" s="3">
        <v>537</v>
      </c>
      <c r="AV162" s="3" t="str">
        <f>IFERROR(MID(VLOOKUP($B162,Seqs!$A:$B,2,0),AW162,1),"")</f>
        <v>T</v>
      </c>
      <c r="AW162" s="3">
        <v>538</v>
      </c>
      <c r="AX162" s="3" t="str">
        <f>IFERROR(MID(VLOOKUP($B162,Seqs!$A:$B,2,0),AY162,1),"")</f>
        <v>T</v>
      </c>
      <c r="AY162" s="127">
        <v>553</v>
      </c>
      <c r="AZ162" s="90" t="s">
        <v>9</v>
      </c>
      <c r="BA162" s="124" t="str">
        <f>VLOOKUP(B162,Classification!A:D,2,0)</f>
        <v>F</v>
      </c>
      <c r="BB162" s="90" t="s">
        <v>1596</v>
      </c>
      <c r="BC162" s="3" t="s">
        <v>1598</v>
      </c>
      <c r="BE162" s="57">
        <f t="shared" si="141"/>
        <v>246</v>
      </c>
      <c r="BF162" s="63" t="b">
        <f t="shared" si="142"/>
        <v>1</v>
      </c>
      <c r="BG162" s="116" t="s">
        <v>1513</v>
      </c>
      <c r="BH162" s="102" t="s">
        <v>1513</v>
      </c>
      <c r="BI162" s="102" t="s">
        <v>1513</v>
      </c>
      <c r="BJ162" s="102" t="s">
        <v>1513</v>
      </c>
      <c r="BK162" s="102" t="s">
        <v>1513</v>
      </c>
      <c r="BL162" s="102" t="s">
        <v>1513</v>
      </c>
      <c r="BM162" s="102" t="s">
        <v>1513</v>
      </c>
      <c r="BN162" s="102" t="s">
        <v>1513</v>
      </c>
      <c r="BO162" s="102" t="s">
        <v>1513</v>
      </c>
      <c r="BP162" s="102" t="s">
        <v>1513</v>
      </c>
      <c r="BQ162" s="102" t="s">
        <v>1513</v>
      </c>
      <c r="BR162" s="102" t="s">
        <v>1513</v>
      </c>
      <c r="BS162" s="116">
        <f t="shared" si="143"/>
        <v>224</v>
      </c>
      <c r="BT162" s="117">
        <f t="shared" si="144"/>
        <v>256</v>
      </c>
      <c r="BU162" s="118">
        <f t="shared" si="145"/>
        <v>261</v>
      </c>
      <c r="BV162" s="117" t="str">
        <f t="shared" si="146"/>
        <v>-</v>
      </c>
      <c r="BW162" s="118">
        <f t="shared" si="147"/>
        <v>312</v>
      </c>
      <c r="BX162" s="117" t="str">
        <f t="shared" si="148"/>
        <v>-</v>
      </c>
      <c r="BY162" s="118">
        <f t="shared" si="149"/>
        <v>356</v>
      </c>
      <c r="BZ162" s="117">
        <f t="shared" si="150"/>
        <v>390</v>
      </c>
      <c r="CA162" s="118">
        <f t="shared" si="151"/>
        <v>397</v>
      </c>
      <c r="CB162" s="117">
        <f t="shared" si="152"/>
        <v>447</v>
      </c>
      <c r="CC162" s="118">
        <f t="shared" si="153"/>
        <v>515</v>
      </c>
      <c r="CD162" s="117">
        <f t="shared" si="154"/>
        <v>538</v>
      </c>
      <c r="CE162" s="116">
        <f t="shared" si="155"/>
        <v>255</v>
      </c>
      <c r="CF162" s="117">
        <f t="shared" si="156"/>
        <v>260</v>
      </c>
      <c r="CG162" s="118">
        <f t="shared" si="157"/>
        <v>285</v>
      </c>
      <c r="CH162" s="118" t="str">
        <f t="shared" si="158"/>
        <v>-</v>
      </c>
      <c r="CI162" s="118">
        <f t="shared" si="159"/>
        <v>346</v>
      </c>
      <c r="CJ162" s="118" t="str">
        <f t="shared" si="160"/>
        <v>-</v>
      </c>
      <c r="CK162" s="118">
        <f t="shared" si="161"/>
        <v>378</v>
      </c>
      <c r="CL162" s="118">
        <f t="shared" si="162"/>
        <v>392</v>
      </c>
      <c r="CM162" s="118">
        <f t="shared" si="163"/>
        <v>428</v>
      </c>
      <c r="CN162" s="118">
        <f t="shared" si="164"/>
        <v>496</v>
      </c>
      <c r="CO162" s="118">
        <f t="shared" si="165"/>
        <v>537</v>
      </c>
      <c r="CP162" s="118">
        <f t="shared" si="166"/>
        <v>553</v>
      </c>
      <c r="CQ162" s="57">
        <f t="shared" si="167"/>
        <v>1</v>
      </c>
    </row>
    <row r="163" spans="1:95" x14ac:dyDescent="0.2">
      <c r="A163" s="3" t="str">
        <f t="shared" si="140"/>
        <v>smo_human_5L7I</v>
      </c>
      <c r="B163" s="3" t="s">
        <v>207</v>
      </c>
      <c r="C163" s="3" t="s">
        <v>1587</v>
      </c>
      <c r="D163" s="3" t="str">
        <f>IFERROR(MID(VLOOKUP($B163,Seqs!$A:$B,2,0),E163,1),"")</f>
        <v>E</v>
      </c>
      <c r="E163" s="3">
        <v>224</v>
      </c>
      <c r="F163" s="3" t="str">
        <f>IFERROR(MID(VLOOKUP($B163,Seqs!$A:$B,2,0),G163,1),"")</f>
        <v>D</v>
      </c>
      <c r="G163" s="3">
        <v>255</v>
      </c>
      <c r="H163" s="3" t="str">
        <f>IFERROR(MID(VLOOKUP($B163,Seqs!$A:$B,2,0),I163,1),"")</f>
        <v>W</v>
      </c>
      <c r="I163" s="57">
        <v>256</v>
      </c>
      <c r="J163" s="3" t="str">
        <f>IFERROR(MID(VLOOKUP($B163,Seqs!$A:$B,2,0),K163,1),"")</f>
        <v>N</v>
      </c>
      <c r="K163" s="57">
        <v>260</v>
      </c>
      <c r="L163" s="3" t="str">
        <f>IFERROR(MID(VLOOKUP($B163,Seqs!$A:$B,2,0),M163,1),"")</f>
        <v>R</v>
      </c>
      <c r="M163" s="3">
        <v>261</v>
      </c>
      <c r="N163" s="3" t="str">
        <f>IFERROR(MID(VLOOKUP($B163,Seqs!$A:$B,2,0),O163,1),"")</f>
        <v>F</v>
      </c>
      <c r="O163" s="3">
        <v>285</v>
      </c>
      <c r="P163" s="3" t="str">
        <f>IFERROR(MID(VLOOKUP($B163,Seqs!$A:$B,2,0),Q163,1),"")</f>
        <v/>
      </c>
      <c r="Q163" s="3" t="s">
        <v>129</v>
      </c>
      <c r="R163" s="3" t="str">
        <f>IFERROR(MID(VLOOKUP($B163,Seqs!$A:$B,2,0),S163,1),"")</f>
        <v/>
      </c>
      <c r="S163" s="3" t="s">
        <v>129</v>
      </c>
      <c r="T163" s="3" t="str">
        <f>IFERROR(MID(VLOOKUP($B163,Seqs!$A:$B,2,0),U163,1),"")</f>
        <v>L</v>
      </c>
      <c r="U163" s="3">
        <v>312</v>
      </c>
      <c r="V163" s="3" t="str">
        <f>IFERROR(MID(VLOOKUP($B163,Seqs!$A:$B,2,0),W163,1),"")</f>
        <v>L</v>
      </c>
      <c r="W163" s="3">
        <v>346</v>
      </c>
      <c r="X163" s="3" t="str">
        <f>IFERROR(MID(VLOOKUP($B163,Seqs!$A:$B,2,0),Y163,1),"")</f>
        <v/>
      </c>
      <c r="Y163" s="3" t="s">
        <v>129</v>
      </c>
      <c r="Z163" s="3" t="str">
        <f>IFERROR(MID(VLOOKUP($B163,Seqs!$A:$B,2,0),AA163,1),"")</f>
        <v/>
      </c>
      <c r="AA163" s="3" t="s">
        <v>129</v>
      </c>
      <c r="AB163" s="3" t="str">
        <f>IFERROR(MID(VLOOKUP($B163,Seqs!$A:$B,2,0),AC163,1),"")</f>
        <v>K</v>
      </c>
      <c r="AC163" s="3">
        <v>356</v>
      </c>
      <c r="AD163" s="3" t="str">
        <f>IFERROR(MID(VLOOKUP($B163,Seqs!$A:$B,2,0),AE163,1),"")</f>
        <v>V</v>
      </c>
      <c r="AE163" s="3">
        <v>378</v>
      </c>
      <c r="AF163" s="3" t="str">
        <f>IFERROR(MID(VLOOKUP($B163,Seqs!$A:$B,2,0),AG163,1),"")</f>
        <v>C</v>
      </c>
      <c r="AG163" s="3">
        <v>390</v>
      </c>
      <c r="AH163" s="3" t="str">
        <f>IFERROR(MID(VLOOKUP($B163,Seqs!$A:$B,2,0),AI163,1),"")</f>
        <v>V</v>
      </c>
      <c r="AI163" s="3">
        <v>392</v>
      </c>
      <c r="AJ163" s="3" t="str">
        <f>IFERROR(MID(VLOOKUP($B163,Seqs!$A:$B,2,0),AK163,1),"")</f>
        <v>Y</v>
      </c>
      <c r="AK163" s="3">
        <v>397</v>
      </c>
      <c r="AL163" s="3" t="str">
        <f>IFERROR(MID(VLOOKUP($B163,Seqs!$A:$B,2,0),AM163,1),"")</f>
        <v>S</v>
      </c>
      <c r="AM163" s="3">
        <v>428</v>
      </c>
      <c r="AN163" s="3" t="str">
        <f>IFERROR(MID(VLOOKUP($B163,Seqs!$A:$B,2,0),AO163,1),"")</f>
        <v>E</v>
      </c>
      <c r="AO163" s="3">
        <v>447</v>
      </c>
      <c r="AP163" s="3" t="str">
        <f>IFERROR(MID(VLOOKUP($B163,Seqs!$A:$B,2,0),AQ163,1),"")</f>
        <v>N</v>
      </c>
      <c r="AQ163" s="3">
        <v>493</v>
      </c>
      <c r="AR163" s="3" t="str">
        <f>IFERROR(MID(VLOOKUP($B163,Seqs!$A:$B,2,0),AS163,1),"")</f>
        <v>L</v>
      </c>
      <c r="AS163" s="3">
        <v>515</v>
      </c>
      <c r="AT163" s="3" t="str">
        <f>IFERROR(MID(VLOOKUP($B163,Seqs!$A:$B,2,0),AU163,1),"")</f>
        <v>W</v>
      </c>
      <c r="AU163" s="3">
        <v>537</v>
      </c>
      <c r="AV163" s="3" t="str">
        <f>IFERROR(MID(VLOOKUP($B163,Seqs!$A:$B,2,0),AW163,1),"")</f>
        <v>T</v>
      </c>
      <c r="AW163" s="3">
        <v>538</v>
      </c>
      <c r="AX163" s="3" t="str">
        <f>IFERROR(MID(VLOOKUP($B163,Seqs!$A:$B,2,0),AY163,1),"")</f>
        <v>R</v>
      </c>
      <c r="AY163" s="127">
        <v>551</v>
      </c>
      <c r="AZ163" s="90" t="s">
        <v>1507</v>
      </c>
      <c r="BA163" s="124" t="str">
        <f>VLOOKUP(B163,Classification!A:D,2,0)</f>
        <v>F</v>
      </c>
      <c r="BB163" s="90" t="s">
        <v>1596</v>
      </c>
      <c r="BC163" s="3" t="s">
        <v>1599</v>
      </c>
      <c r="BE163" s="57">
        <f t="shared" si="141"/>
        <v>241</v>
      </c>
      <c r="BF163" s="63" t="b">
        <f t="shared" si="142"/>
        <v>1</v>
      </c>
      <c r="BG163" s="116" t="s">
        <v>1513</v>
      </c>
      <c r="BH163" s="102" t="s">
        <v>1513</v>
      </c>
      <c r="BI163" s="102" t="s">
        <v>1513</v>
      </c>
      <c r="BJ163" s="102" t="s">
        <v>1513</v>
      </c>
      <c r="BK163" s="102" t="s">
        <v>1513</v>
      </c>
      <c r="BL163" s="102" t="s">
        <v>1513</v>
      </c>
      <c r="BM163" s="102" t="s">
        <v>1513</v>
      </c>
      <c r="BN163" s="102" t="s">
        <v>1513</v>
      </c>
      <c r="BO163" s="102" t="s">
        <v>1513</v>
      </c>
      <c r="BP163" s="102" t="s">
        <v>1513</v>
      </c>
      <c r="BQ163" s="102" t="s">
        <v>1513</v>
      </c>
      <c r="BR163" s="102" t="s">
        <v>1513</v>
      </c>
      <c r="BS163" s="116">
        <f t="shared" si="143"/>
        <v>224</v>
      </c>
      <c r="BT163" s="117">
        <f t="shared" si="144"/>
        <v>256</v>
      </c>
      <c r="BU163" s="118">
        <f t="shared" si="145"/>
        <v>261</v>
      </c>
      <c r="BV163" s="117" t="str">
        <f t="shared" si="146"/>
        <v>-</v>
      </c>
      <c r="BW163" s="118">
        <f t="shared" si="147"/>
        <v>312</v>
      </c>
      <c r="BX163" s="117" t="str">
        <f t="shared" si="148"/>
        <v>-</v>
      </c>
      <c r="BY163" s="118">
        <f t="shared" si="149"/>
        <v>356</v>
      </c>
      <c r="BZ163" s="117">
        <f t="shared" si="150"/>
        <v>390</v>
      </c>
      <c r="CA163" s="118">
        <f t="shared" si="151"/>
        <v>397</v>
      </c>
      <c r="CB163" s="117">
        <f t="shared" si="152"/>
        <v>447</v>
      </c>
      <c r="CC163" s="118">
        <f t="shared" si="153"/>
        <v>515</v>
      </c>
      <c r="CD163" s="117">
        <f t="shared" si="154"/>
        <v>538</v>
      </c>
      <c r="CE163" s="116">
        <f t="shared" si="155"/>
        <v>255</v>
      </c>
      <c r="CF163" s="117">
        <f t="shared" si="156"/>
        <v>260</v>
      </c>
      <c r="CG163" s="118">
        <f t="shared" si="157"/>
        <v>285</v>
      </c>
      <c r="CH163" s="118" t="str">
        <f t="shared" si="158"/>
        <v>-</v>
      </c>
      <c r="CI163" s="118">
        <f t="shared" si="159"/>
        <v>346</v>
      </c>
      <c r="CJ163" s="118" t="str">
        <f t="shared" si="160"/>
        <v>-</v>
      </c>
      <c r="CK163" s="118">
        <f t="shared" si="161"/>
        <v>378</v>
      </c>
      <c r="CL163" s="118">
        <f t="shared" si="162"/>
        <v>392</v>
      </c>
      <c r="CM163" s="118">
        <f t="shared" si="163"/>
        <v>428</v>
      </c>
      <c r="CN163" s="118">
        <f t="shared" si="164"/>
        <v>493</v>
      </c>
      <c r="CO163" s="118">
        <f t="shared" si="165"/>
        <v>537</v>
      </c>
      <c r="CP163" s="118">
        <f t="shared" si="166"/>
        <v>551</v>
      </c>
      <c r="CQ163" s="57">
        <f t="shared" si="167"/>
        <v>1</v>
      </c>
    </row>
    <row r="164" spans="1:95" x14ac:dyDescent="0.2">
      <c r="A164" s="3" t="str">
        <f t="shared" si="140"/>
        <v>smo_human_4JKV</v>
      </c>
      <c r="B164" s="3" t="s">
        <v>207</v>
      </c>
      <c r="C164" s="3" t="s">
        <v>277</v>
      </c>
      <c r="D164" s="3" t="str">
        <f>IFERROR(MID(VLOOKUP($B164,Seqs!$A:$B,2,0),E164,1),"")</f>
        <v>E</v>
      </c>
      <c r="E164" s="3">
        <v>224</v>
      </c>
      <c r="F164" s="3" t="str">
        <f>IFERROR(MID(VLOOKUP($B164,Seqs!$A:$B,2,0),G164,1),"")</f>
        <v>D</v>
      </c>
      <c r="G164" s="3">
        <v>255</v>
      </c>
      <c r="H164" s="3" t="str">
        <f>IFERROR(MID(VLOOKUP($B164,Seqs!$A:$B,2,0),I164,1),"")</f>
        <v>W</v>
      </c>
      <c r="I164" s="57">
        <v>256</v>
      </c>
      <c r="J164" s="3" t="str">
        <f>IFERROR(MID(VLOOKUP($B164,Seqs!$A:$B,2,0),K164,1),"")</f>
        <v>N</v>
      </c>
      <c r="K164" s="57">
        <v>260</v>
      </c>
      <c r="L164" s="3" t="str">
        <f>IFERROR(MID(VLOOKUP($B164,Seqs!$A:$B,2,0),M164,1),"")</f>
        <v>R</v>
      </c>
      <c r="M164" s="3">
        <v>261</v>
      </c>
      <c r="N164" s="3" t="str">
        <f>IFERROR(MID(VLOOKUP($B164,Seqs!$A:$B,2,0),O164,1),"")</f>
        <v>F</v>
      </c>
      <c r="O164" s="3">
        <v>285</v>
      </c>
      <c r="P164" s="3" t="str">
        <f>IFERROR(MID(VLOOKUP($B164,Seqs!$A:$B,2,0),Q164,1),"")</f>
        <v/>
      </c>
      <c r="Q164" s="3" t="s">
        <v>129</v>
      </c>
      <c r="R164" s="3" t="str">
        <f>IFERROR(MID(VLOOKUP($B164,Seqs!$A:$B,2,0),S164,1),"")</f>
        <v/>
      </c>
      <c r="S164" s="3" t="s">
        <v>129</v>
      </c>
      <c r="T164" s="3" t="str">
        <f>IFERROR(MID(VLOOKUP($B164,Seqs!$A:$B,2,0),U164,1),"")</f>
        <v>L</v>
      </c>
      <c r="U164" s="3">
        <v>312</v>
      </c>
      <c r="V164" s="3" t="str">
        <f>IFERROR(MID(VLOOKUP($B164,Seqs!$A:$B,2,0),W164,1),"")</f>
        <v>T</v>
      </c>
      <c r="W164" s="3">
        <v>348</v>
      </c>
      <c r="X164" s="3" t="str">
        <f>IFERROR(MID(VLOOKUP($B164,Seqs!$A:$B,2,0),Y164,1),"")</f>
        <v/>
      </c>
      <c r="Y164" s="3" t="s">
        <v>129</v>
      </c>
      <c r="Z164" s="3" t="str">
        <f>IFERROR(MID(VLOOKUP($B164,Seqs!$A:$B,2,0),AA164,1),"")</f>
        <v/>
      </c>
      <c r="AA164" s="3" t="s">
        <v>129</v>
      </c>
      <c r="AB164" s="3" t="str">
        <f>IFERROR(MID(VLOOKUP($B164,Seqs!$A:$B,2,0),AC164,1),"")</f>
        <v>F</v>
      </c>
      <c r="AC164" s="3">
        <v>360</v>
      </c>
      <c r="AD164" s="3" t="str">
        <f>IFERROR(MID(VLOOKUP($B164,Seqs!$A:$B,2,0),AE164,1),"")</f>
        <v>V</v>
      </c>
      <c r="AE164" s="3">
        <v>378</v>
      </c>
      <c r="AF164" s="3" t="str">
        <f>IFERROR(MID(VLOOKUP($B164,Seqs!$A:$B,2,0),AG164,1),"")</f>
        <v>C</v>
      </c>
      <c r="AG164" s="3">
        <v>390</v>
      </c>
      <c r="AH164" s="3" t="str">
        <f>IFERROR(MID(VLOOKUP($B164,Seqs!$A:$B,2,0),AI164,1),"")</f>
        <v>V</v>
      </c>
      <c r="AI164" s="3">
        <v>392</v>
      </c>
      <c r="AJ164" s="3" t="str">
        <f>IFERROR(MID(VLOOKUP($B164,Seqs!$A:$B,2,0),AK164,1),"")</f>
        <v>Y</v>
      </c>
      <c r="AK164" s="3">
        <v>397</v>
      </c>
      <c r="AL164" s="3" t="str">
        <f>IFERROR(MID(VLOOKUP($B164,Seqs!$A:$B,2,0),AM164,1),"")</f>
        <v>H</v>
      </c>
      <c r="AM164" s="3">
        <v>433</v>
      </c>
      <c r="AN164" s="3" t="str">
        <f>IFERROR(MID(VLOOKUP($B164,Seqs!$A:$B,2,0),AO164,1),"")</f>
        <v>S</v>
      </c>
      <c r="AO164" s="3">
        <v>443</v>
      </c>
      <c r="AP164" s="3" t="str">
        <f>IFERROR(MID(VLOOKUP($B164,Seqs!$A:$B,2,0),AQ164,1),"")</f>
        <v>N</v>
      </c>
      <c r="AQ164" s="3">
        <v>493</v>
      </c>
      <c r="AR164" s="3" t="str">
        <f>IFERROR(MID(VLOOKUP($B164,Seqs!$A:$B,2,0),AS164,1),"")</f>
        <v>L</v>
      </c>
      <c r="AS164" s="3">
        <v>515</v>
      </c>
      <c r="AT164" s="3" t="str">
        <f>IFERROR(MID(VLOOKUP($B164,Seqs!$A:$B,2,0),AU164,1),"")</f>
        <v>W</v>
      </c>
      <c r="AU164" s="3">
        <v>537</v>
      </c>
      <c r="AV164" s="3" t="str">
        <f>IFERROR(MID(VLOOKUP($B164,Seqs!$A:$B,2,0),AW164,1),"")</f>
        <v>T</v>
      </c>
      <c r="AW164" s="3">
        <v>538</v>
      </c>
      <c r="AX164" s="3" t="str">
        <f>IFERROR(MID(VLOOKUP($B164,Seqs!$A:$B,2,0),AY164,1),"")</f>
        <v>C</v>
      </c>
      <c r="AY164" s="3">
        <v>550</v>
      </c>
      <c r="BA164" s="124" t="str">
        <f>VLOOKUP(B164,Classification!A:D,2,0)</f>
        <v>F</v>
      </c>
      <c r="BD164" s="126"/>
      <c r="BE164" s="57">
        <f t="shared" si="141"/>
        <v>247</v>
      </c>
      <c r="BF164" s="63" t="b">
        <f t="shared" si="142"/>
        <v>1</v>
      </c>
      <c r="BG164" s="116" t="s">
        <v>1513</v>
      </c>
      <c r="BH164" s="102" t="s">
        <v>1513</v>
      </c>
      <c r="BI164" s="102" t="s">
        <v>1513</v>
      </c>
      <c r="BJ164" s="102" t="s">
        <v>1513</v>
      </c>
      <c r="BK164" s="102" t="s">
        <v>1513</v>
      </c>
      <c r="BL164" s="102" t="s">
        <v>1513</v>
      </c>
      <c r="BM164" s="102" t="s">
        <v>1513</v>
      </c>
      <c r="BN164" s="102" t="s">
        <v>1513</v>
      </c>
      <c r="BO164" s="102" t="s">
        <v>1513</v>
      </c>
      <c r="BP164" s="102" t="s">
        <v>1513</v>
      </c>
      <c r="BQ164" s="102" t="s">
        <v>1513</v>
      </c>
      <c r="BR164" s="102" t="s">
        <v>1513</v>
      </c>
      <c r="BS164" s="116">
        <f t="shared" si="143"/>
        <v>224</v>
      </c>
      <c r="BT164" s="117">
        <f t="shared" si="144"/>
        <v>256</v>
      </c>
      <c r="BU164" s="118">
        <f t="shared" si="145"/>
        <v>261</v>
      </c>
      <c r="BV164" s="117" t="str">
        <f t="shared" si="146"/>
        <v>-</v>
      </c>
      <c r="BW164" s="118">
        <f t="shared" si="147"/>
        <v>312</v>
      </c>
      <c r="BX164" s="117" t="str">
        <f t="shared" si="148"/>
        <v>-</v>
      </c>
      <c r="BY164" s="118">
        <f t="shared" si="149"/>
        <v>360</v>
      </c>
      <c r="BZ164" s="117">
        <f t="shared" si="150"/>
        <v>390</v>
      </c>
      <c r="CA164" s="118">
        <f t="shared" si="151"/>
        <v>397</v>
      </c>
      <c r="CB164" s="117">
        <f t="shared" si="152"/>
        <v>443</v>
      </c>
      <c r="CC164" s="118">
        <f t="shared" si="153"/>
        <v>515</v>
      </c>
      <c r="CD164" s="117">
        <f t="shared" si="154"/>
        <v>538</v>
      </c>
      <c r="CE164" s="116">
        <f t="shared" si="155"/>
        <v>255</v>
      </c>
      <c r="CF164" s="117">
        <f t="shared" si="156"/>
        <v>260</v>
      </c>
      <c r="CG164" s="118">
        <f t="shared" si="157"/>
        <v>285</v>
      </c>
      <c r="CH164" s="118" t="str">
        <f t="shared" si="158"/>
        <v>-</v>
      </c>
      <c r="CI164" s="118">
        <f t="shared" si="159"/>
        <v>348</v>
      </c>
      <c r="CJ164" s="118" t="str">
        <f t="shared" si="160"/>
        <v>-</v>
      </c>
      <c r="CK164" s="118">
        <f t="shared" si="161"/>
        <v>378</v>
      </c>
      <c r="CL164" s="118">
        <f t="shared" si="162"/>
        <v>392</v>
      </c>
      <c r="CM164" s="118">
        <f t="shared" si="163"/>
        <v>433</v>
      </c>
      <c r="CN164" s="118">
        <f t="shared" si="164"/>
        <v>493</v>
      </c>
      <c r="CO164" s="118">
        <f t="shared" si="165"/>
        <v>537</v>
      </c>
      <c r="CP164" s="118">
        <f t="shared" si="166"/>
        <v>550</v>
      </c>
      <c r="CQ164" s="57">
        <f t="shared" si="167"/>
        <v>1</v>
      </c>
    </row>
    <row r="165" spans="1:95" x14ac:dyDescent="0.2">
      <c r="A165" s="3" t="str">
        <f t="shared" si="140"/>
        <v>smo_human_4O9R</v>
      </c>
      <c r="B165" s="3" t="s">
        <v>207</v>
      </c>
      <c r="C165" s="3" t="s">
        <v>1255</v>
      </c>
      <c r="D165" s="3" t="str">
        <f>IFERROR(MID(VLOOKUP($B165,Seqs!$A:$B,2,0),E165,1),"")</f>
        <v>E</v>
      </c>
      <c r="E165" s="3">
        <v>224</v>
      </c>
      <c r="F165" s="3" t="str">
        <f>IFERROR(MID(VLOOKUP($B165,Seqs!$A:$B,2,0),G165,1),"")</f>
        <v>D</v>
      </c>
      <c r="G165" s="3">
        <v>255</v>
      </c>
      <c r="H165" s="3" t="str">
        <f>IFERROR(MID(VLOOKUP($B165,Seqs!$A:$B,2,0),I165,1),"")</f>
        <v>W</v>
      </c>
      <c r="I165" s="57">
        <v>256</v>
      </c>
      <c r="J165" s="3" t="str">
        <f>IFERROR(MID(VLOOKUP($B165,Seqs!$A:$B,2,0),K165,1),"")</f>
        <v>N</v>
      </c>
      <c r="K165" s="57">
        <v>260</v>
      </c>
      <c r="L165" s="3" t="str">
        <f>IFERROR(MID(VLOOKUP($B165,Seqs!$A:$B,2,0),M165,1),"")</f>
        <v>R</v>
      </c>
      <c r="M165" s="3">
        <v>261</v>
      </c>
      <c r="N165" s="3" t="str">
        <f>IFERROR(MID(VLOOKUP($B165,Seqs!$A:$B,2,0),O165,1),"")</f>
        <v>F</v>
      </c>
      <c r="O165" s="3">
        <v>285</v>
      </c>
      <c r="P165" s="3" t="str">
        <f>IFERROR(MID(VLOOKUP($B165,Seqs!$A:$B,2,0),Q165,1),"")</f>
        <v/>
      </c>
      <c r="Q165" s="3" t="s">
        <v>129</v>
      </c>
      <c r="R165" s="3" t="str">
        <f>IFERROR(MID(VLOOKUP($B165,Seqs!$A:$B,2,0),S165,1),"")</f>
        <v/>
      </c>
      <c r="S165" s="3" t="s">
        <v>129</v>
      </c>
      <c r="T165" s="3" t="str">
        <f>IFERROR(MID(VLOOKUP($B165,Seqs!$A:$B,2,0),U165,1),"")</f>
        <v>L</v>
      </c>
      <c r="U165" s="3">
        <v>312</v>
      </c>
      <c r="V165" s="3" t="str">
        <f>IFERROR(MID(VLOOKUP($B165,Seqs!$A:$B,2,0),W165,1),"")</f>
        <v>F</v>
      </c>
      <c r="W165" s="3">
        <v>343</v>
      </c>
      <c r="X165" s="3" t="str">
        <f>IFERROR(MID(VLOOKUP($B165,Seqs!$A:$B,2,0),Y165,1),"")</f>
        <v/>
      </c>
      <c r="Y165" s="3" t="s">
        <v>129</v>
      </c>
      <c r="Z165" s="3" t="str">
        <f>IFERROR(MID(VLOOKUP($B165,Seqs!$A:$B,2,0),AA165,1),"")</f>
        <v/>
      </c>
      <c r="AA165" s="3" t="s">
        <v>129</v>
      </c>
      <c r="AB165" s="3" t="str">
        <f>IFERROR(MID(VLOOKUP($B165,Seqs!$A:$B,2,0),AC165,1),"")</f>
        <v>F</v>
      </c>
      <c r="AC165" s="3">
        <v>360</v>
      </c>
      <c r="AD165" s="3" t="str">
        <f>IFERROR(MID(VLOOKUP($B165,Seqs!$A:$B,2,0),AE165,1),"")</f>
        <v>V</v>
      </c>
      <c r="AE165" s="3">
        <v>378</v>
      </c>
      <c r="AF165" s="3" t="str">
        <f>IFERROR(MID(VLOOKUP($B165,Seqs!$A:$B,2,0),AG165,1),"")</f>
        <v>C</v>
      </c>
      <c r="AG165" s="3">
        <v>390</v>
      </c>
      <c r="AH165" s="3" t="str">
        <f>IFERROR(MID(VLOOKUP($B165,Seqs!$A:$B,2,0),AI165,1),"")</f>
        <v>V</v>
      </c>
      <c r="AI165" s="3">
        <v>392</v>
      </c>
      <c r="AJ165" s="3" t="str">
        <f>IFERROR(MID(VLOOKUP($B165,Seqs!$A:$B,2,0),AK165,1),"")</f>
        <v>Y</v>
      </c>
      <c r="AK165" s="3">
        <v>397</v>
      </c>
      <c r="AL165" s="3" t="str">
        <f>IFERROR(MID(VLOOKUP($B165,Seqs!$A:$B,2,0),AM165,1),"")</f>
        <v>H</v>
      </c>
      <c r="AM165" s="3">
        <v>433</v>
      </c>
      <c r="AN165" s="3" t="str">
        <f>IFERROR(MID(VLOOKUP($B165,Seqs!$A:$B,2,0),AO165,1),"")</f>
        <v>E</v>
      </c>
      <c r="AO165" s="3">
        <v>447</v>
      </c>
      <c r="AP165" s="3" t="str">
        <f>IFERROR(MID(VLOOKUP($B165,Seqs!$A:$B,2,0),AQ165,1),"")</f>
        <v>N</v>
      </c>
      <c r="AQ165" s="3">
        <v>493</v>
      </c>
      <c r="AR165" s="3" t="str">
        <f>IFERROR(MID(VLOOKUP($B165,Seqs!$A:$B,2,0),AS165,1),"")</f>
        <v>L</v>
      </c>
      <c r="AS165" s="3">
        <v>515</v>
      </c>
      <c r="AT165" s="3" t="str">
        <f>IFERROR(MID(VLOOKUP($B165,Seqs!$A:$B,2,0),AU165,1),"")</f>
        <v>W</v>
      </c>
      <c r="AU165" s="3">
        <v>537</v>
      </c>
      <c r="AV165" s="3" t="str">
        <f>IFERROR(MID(VLOOKUP($B165,Seqs!$A:$B,2,0),AW165,1),"")</f>
        <v>T</v>
      </c>
      <c r="AW165" s="3">
        <v>538</v>
      </c>
      <c r="AX165" s="3" t="str">
        <f>IFERROR(MID(VLOOKUP($B165,Seqs!$A:$B,2,0),AY165,1),"")</f>
        <v>W</v>
      </c>
      <c r="AY165" s="3">
        <v>549</v>
      </c>
      <c r="BA165" s="124" t="str">
        <f>VLOOKUP(B165,Classification!A:D,2,0)</f>
        <v>F</v>
      </c>
      <c r="BE165" s="57">
        <f t="shared" si="141"/>
        <v>237</v>
      </c>
      <c r="BF165" s="63" t="b">
        <f t="shared" si="142"/>
        <v>1</v>
      </c>
      <c r="BG165" s="116" t="s">
        <v>1513</v>
      </c>
      <c r="BH165" s="102" t="s">
        <v>1513</v>
      </c>
      <c r="BI165" s="102" t="s">
        <v>1513</v>
      </c>
      <c r="BJ165" s="102" t="s">
        <v>1513</v>
      </c>
      <c r="BK165" s="102" t="s">
        <v>1513</v>
      </c>
      <c r="BL165" s="102" t="s">
        <v>1513</v>
      </c>
      <c r="BM165" s="102" t="s">
        <v>1513</v>
      </c>
      <c r="BN165" s="102" t="s">
        <v>1513</v>
      </c>
      <c r="BO165" s="102" t="s">
        <v>1513</v>
      </c>
      <c r="BP165" s="102" t="s">
        <v>1513</v>
      </c>
      <c r="BQ165" s="102" t="s">
        <v>1513</v>
      </c>
      <c r="BR165" s="102" t="s">
        <v>1513</v>
      </c>
      <c r="BS165" s="116">
        <f t="shared" si="143"/>
        <v>224</v>
      </c>
      <c r="BT165" s="117">
        <f t="shared" si="144"/>
        <v>256</v>
      </c>
      <c r="BU165" s="118">
        <f t="shared" si="145"/>
        <v>261</v>
      </c>
      <c r="BV165" s="117" t="str">
        <f t="shared" si="146"/>
        <v>-</v>
      </c>
      <c r="BW165" s="118">
        <f t="shared" si="147"/>
        <v>312</v>
      </c>
      <c r="BX165" s="117" t="str">
        <f t="shared" si="148"/>
        <v>-</v>
      </c>
      <c r="BY165" s="118">
        <f t="shared" si="149"/>
        <v>360</v>
      </c>
      <c r="BZ165" s="117">
        <f t="shared" si="150"/>
        <v>390</v>
      </c>
      <c r="CA165" s="118">
        <f t="shared" si="151"/>
        <v>397</v>
      </c>
      <c r="CB165" s="117">
        <f t="shared" si="152"/>
        <v>447</v>
      </c>
      <c r="CC165" s="118">
        <f t="shared" si="153"/>
        <v>515</v>
      </c>
      <c r="CD165" s="117">
        <f t="shared" si="154"/>
        <v>538</v>
      </c>
      <c r="CE165" s="116">
        <f t="shared" si="155"/>
        <v>255</v>
      </c>
      <c r="CF165" s="117">
        <f t="shared" si="156"/>
        <v>260</v>
      </c>
      <c r="CG165" s="118">
        <f t="shared" si="157"/>
        <v>285</v>
      </c>
      <c r="CH165" s="118" t="str">
        <f t="shared" si="158"/>
        <v>-</v>
      </c>
      <c r="CI165" s="118">
        <f t="shared" si="159"/>
        <v>343</v>
      </c>
      <c r="CJ165" s="118" t="str">
        <f t="shared" si="160"/>
        <v>-</v>
      </c>
      <c r="CK165" s="118">
        <f t="shared" si="161"/>
        <v>378</v>
      </c>
      <c r="CL165" s="118">
        <f t="shared" si="162"/>
        <v>392</v>
      </c>
      <c r="CM165" s="118">
        <f t="shared" si="163"/>
        <v>433</v>
      </c>
      <c r="CN165" s="118">
        <f t="shared" si="164"/>
        <v>493</v>
      </c>
      <c r="CO165" s="118">
        <f t="shared" si="165"/>
        <v>537</v>
      </c>
      <c r="CP165" s="118">
        <f t="shared" si="166"/>
        <v>549</v>
      </c>
      <c r="CQ165" s="57">
        <f t="shared" si="167"/>
        <v>1</v>
      </c>
    </row>
    <row r="166" spans="1:95" x14ac:dyDescent="0.2">
      <c r="A166" s="3" t="str">
        <f t="shared" si="140"/>
        <v>smo_human_4QIM</v>
      </c>
      <c r="B166" s="3" t="s">
        <v>207</v>
      </c>
      <c r="C166" s="3" t="s">
        <v>1257</v>
      </c>
      <c r="D166" s="3" t="str">
        <f>IFERROR(MID(VLOOKUP($B166,Seqs!$A:$B,2,0),E166,1),"")</f>
        <v>E</v>
      </c>
      <c r="E166" s="3">
        <v>224</v>
      </c>
      <c r="F166" s="3" t="str">
        <f>IFERROR(MID(VLOOKUP($B166,Seqs!$A:$B,2,0),G166,1),"")</f>
        <v>D</v>
      </c>
      <c r="G166" s="3">
        <v>255</v>
      </c>
      <c r="H166" s="3" t="str">
        <f>IFERROR(MID(VLOOKUP($B166,Seqs!$A:$B,2,0),I166,1),"")</f>
        <v>W</v>
      </c>
      <c r="I166" s="57">
        <v>256</v>
      </c>
      <c r="J166" s="3" t="str">
        <f>IFERROR(MID(VLOOKUP($B166,Seqs!$A:$B,2,0),K166,1),"")</f>
        <v>N</v>
      </c>
      <c r="K166" s="57">
        <v>260</v>
      </c>
      <c r="L166" s="3" t="str">
        <f>IFERROR(MID(VLOOKUP($B166,Seqs!$A:$B,2,0),M166,1),"")</f>
        <v>R</v>
      </c>
      <c r="M166" s="3">
        <v>261</v>
      </c>
      <c r="N166" s="3" t="str">
        <f>IFERROR(MID(VLOOKUP($B166,Seqs!$A:$B,2,0),O166,1),"")</f>
        <v>F</v>
      </c>
      <c r="O166" s="3">
        <v>285</v>
      </c>
      <c r="P166" s="3" t="str">
        <f>IFERROR(MID(VLOOKUP($B166,Seqs!$A:$B,2,0),Q166,1),"")</f>
        <v/>
      </c>
      <c r="Q166" s="3" t="s">
        <v>129</v>
      </c>
      <c r="R166" s="3" t="str">
        <f>IFERROR(MID(VLOOKUP($B166,Seqs!$A:$B,2,0),S166,1),"")</f>
        <v/>
      </c>
      <c r="S166" s="3" t="s">
        <v>129</v>
      </c>
      <c r="T166" s="3" t="str">
        <f>IFERROR(MID(VLOOKUP($B166,Seqs!$A:$B,2,0),U166,1),"")</f>
        <v>L</v>
      </c>
      <c r="U166" s="3">
        <v>312</v>
      </c>
      <c r="V166" s="3" t="str">
        <f>IFERROR(MID(VLOOKUP($B166,Seqs!$A:$B,2,0),W166,1),"")</f>
        <v>A</v>
      </c>
      <c r="W166" s="3">
        <v>345</v>
      </c>
      <c r="X166" s="3" t="str">
        <f>IFERROR(MID(VLOOKUP($B166,Seqs!$A:$B,2,0),Y166,1),"")</f>
        <v/>
      </c>
      <c r="Y166" s="3" t="s">
        <v>129</v>
      </c>
      <c r="Z166" s="3" t="str">
        <f>IFERROR(MID(VLOOKUP($B166,Seqs!$A:$B,2,0),AA166,1),"")</f>
        <v/>
      </c>
      <c r="AA166" s="3" t="s">
        <v>129</v>
      </c>
      <c r="AB166" s="3" t="str">
        <f>IFERROR(MID(VLOOKUP($B166,Seqs!$A:$B,2,0),AC166,1),"")</f>
        <v>K</v>
      </c>
      <c r="AC166" s="3">
        <v>356</v>
      </c>
      <c r="AD166" s="3" t="str">
        <f>IFERROR(MID(VLOOKUP($B166,Seqs!$A:$B,2,0),AE166,1),"")</f>
        <v>V</v>
      </c>
      <c r="AE166" s="3">
        <v>378</v>
      </c>
      <c r="AF166" s="3" t="str">
        <f>IFERROR(MID(VLOOKUP($B166,Seqs!$A:$B,2,0),AG166,1),"")</f>
        <v>C</v>
      </c>
      <c r="AG166" s="3">
        <v>390</v>
      </c>
      <c r="AH166" s="3" t="str">
        <f>IFERROR(MID(VLOOKUP($B166,Seqs!$A:$B,2,0),AI166,1),"")</f>
        <v>V</v>
      </c>
      <c r="AI166" s="3">
        <v>392</v>
      </c>
      <c r="AJ166" s="3" t="str">
        <f>IFERROR(MID(VLOOKUP($B166,Seqs!$A:$B,2,0),AK166,1),"")</f>
        <v>Y</v>
      </c>
      <c r="AK166" s="3">
        <v>397</v>
      </c>
      <c r="AL166" s="3" t="str">
        <f>IFERROR(MID(VLOOKUP($B166,Seqs!$A:$B,2,0),AM166,1),"")</f>
        <v>H</v>
      </c>
      <c r="AM166" s="3">
        <v>433</v>
      </c>
      <c r="AN166" s="3" t="str">
        <f>IFERROR(MID(VLOOKUP($B166,Seqs!$A:$B,2,0),AO166,1),"")</f>
        <v>E</v>
      </c>
      <c r="AO166" s="3">
        <v>447</v>
      </c>
      <c r="AP166" s="3" t="str">
        <f>IFERROR(MID(VLOOKUP($B166,Seqs!$A:$B,2,0),AQ166,1),"")</f>
        <v>N</v>
      </c>
      <c r="AQ166" s="3">
        <v>493</v>
      </c>
      <c r="AR166" s="3" t="str">
        <f>IFERROR(MID(VLOOKUP($B166,Seqs!$A:$B,2,0),AS166,1),"")</f>
        <v>L</v>
      </c>
      <c r="AS166" s="3">
        <v>515</v>
      </c>
      <c r="AT166" s="3" t="str">
        <f>IFERROR(MID(VLOOKUP($B166,Seqs!$A:$B,2,0),AU166,1),"")</f>
        <v>W</v>
      </c>
      <c r="AU166" s="3">
        <v>537</v>
      </c>
      <c r="AV166" s="3" t="str">
        <f>IFERROR(MID(VLOOKUP($B166,Seqs!$A:$B,2,0),AW166,1),"")</f>
        <v>T</v>
      </c>
      <c r="AW166" s="3">
        <v>538</v>
      </c>
      <c r="AX166" s="3" t="str">
        <f>IFERROR(MID(VLOOKUP($B166,Seqs!$A:$B,2,0),AY166,1),"")</f>
        <v>T</v>
      </c>
      <c r="AY166" s="3">
        <v>553</v>
      </c>
      <c r="BA166" s="124" t="str">
        <f>VLOOKUP(B166,Classification!A:D,2,0)</f>
        <v>F</v>
      </c>
      <c r="BE166" s="57">
        <f t="shared" si="141"/>
        <v>247</v>
      </c>
      <c r="BF166" s="63" t="b">
        <f t="shared" si="142"/>
        <v>1</v>
      </c>
      <c r="BG166" s="116" t="s">
        <v>1513</v>
      </c>
      <c r="BH166" s="102" t="s">
        <v>1513</v>
      </c>
      <c r="BI166" s="102" t="s">
        <v>1513</v>
      </c>
      <c r="BJ166" s="102" t="s">
        <v>1513</v>
      </c>
      <c r="BK166" s="102" t="s">
        <v>1513</v>
      </c>
      <c r="BL166" s="102" t="s">
        <v>1513</v>
      </c>
      <c r="BM166" s="102" t="s">
        <v>1513</v>
      </c>
      <c r="BN166" s="102" t="s">
        <v>1513</v>
      </c>
      <c r="BO166" s="102" t="s">
        <v>1513</v>
      </c>
      <c r="BP166" s="102" t="s">
        <v>1513</v>
      </c>
      <c r="BQ166" s="102" t="s">
        <v>1513</v>
      </c>
      <c r="BR166" s="102" t="s">
        <v>1513</v>
      </c>
      <c r="BS166" s="116">
        <f t="shared" si="143"/>
        <v>224</v>
      </c>
      <c r="BT166" s="117">
        <f t="shared" si="144"/>
        <v>256</v>
      </c>
      <c r="BU166" s="118">
        <f t="shared" si="145"/>
        <v>261</v>
      </c>
      <c r="BV166" s="117" t="str">
        <f t="shared" si="146"/>
        <v>-</v>
      </c>
      <c r="BW166" s="118">
        <f t="shared" si="147"/>
        <v>312</v>
      </c>
      <c r="BX166" s="117" t="str">
        <f t="shared" si="148"/>
        <v>-</v>
      </c>
      <c r="BY166" s="118">
        <f t="shared" si="149"/>
        <v>356</v>
      </c>
      <c r="BZ166" s="117">
        <f t="shared" si="150"/>
        <v>390</v>
      </c>
      <c r="CA166" s="118">
        <f t="shared" si="151"/>
        <v>397</v>
      </c>
      <c r="CB166" s="117">
        <f t="shared" si="152"/>
        <v>447</v>
      </c>
      <c r="CC166" s="118">
        <f t="shared" si="153"/>
        <v>515</v>
      </c>
      <c r="CD166" s="117">
        <f t="shared" si="154"/>
        <v>538</v>
      </c>
      <c r="CE166" s="116">
        <f t="shared" si="155"/>
        <v>255</v>
      </c>
      <c r="CF166" s="117">
        <f t="shared" si="156"/>
        <v>260</v>
      </c>
      <c r="CG166" s="118">
        <f t="shared" si="157"/>
        <v>285</v>
      </c>
      <c r="CH166" s="118" t="str">
        <f t="shared" si="158"/>
        <v>-</v>
      </c>
      <c r="CI166" s="118">
        <f t="shared" si="159"/>
        <v>345</v>
      </c>
      <c r="CJ166" s="118" t="str">
        <f t="shared" si="160"/>
        <v>-</v>
      </c>
      <c r="CK166" s="118">
        <f t="shared" si="161"/>
        <v>378</v>
      </c>
      <c r="CL166" s="118">
        <f t="shared" si="162"/>
        <v>392</v>
      </c>
      <c r="CM166" s="118">
        <f t="shared" si="163"/>
        <v>433</v>
      </c>
      <c r="CN166" s="118">
        <f t="shared" si="164"/>
        <v>493</v>
      </c>
      <c r="CO166" s="118">
        <f t="shared" si="165"/>
        <v>537</v>
      </c>
      <c r="CP166" s="118">
        <f t="shared" si="166"/>
        <v>553</v>
      </c>
      <c r="CQ166" s="57">
        <f t="shared" si="167"/>
        <v>1</v>
      </c>
    </row>
    <row r="167" spans="1:95" x14ac:dyDescent="0.2">
      <c r="A167" s="3" t="str">
        <f t="shared" si="140"/>
        <v>smo_human_4QIN</v>
      </c>
      <c r="B167" s="3" t="s">
        <v>207</v>
      </c>
      <c r="C167" s="3" t="s">
        <v>246</v>
      </c>
      <c r="D167" s="3" t="str">
        <f>IFERROR(MID(VLOOKUP($B167,Seqs!$A:$B,2,0),E167,1),"")</f>
        <v>E</v>
      </c>
      <c r="E167" s="3">
        <v>224</v>
      </c>
      <c r="F167" s="3" t="str">
        <f>IFERROR(MID(VLOOKUP($B167,Seqs!$A:$B,2,0),G167,1),"")</f>
        <v>D</v>
      </c>
      <c r="G167" s="3">
        <v>255</v>
      </c>
      <c r="H167" s="3" t="str">
        <f>IFERROR(MID(VLOOKUP($B167,Seqs!$A:$B,2,0),I167,1),"")</f>
        <v>W</v>
      </c>
      <c r="I167" s="57">
        <v>256</v>
      </c>
      <c r="J167" s="3" t="str">
        <f>IFERROR(MID(VLOOKUP($B167,Seqs!$A:$B,2,0),K167,1),"")</f>
        <v>N</v>
      </c>
      <c r="K167" s="57">
        <v>260</v>
      </c>
      <c r="L167" s="3" t="str">
        <f>IFERROR(MID(VLOOKUP($B167,Seqs!$A:$B,2,0),M167,1),"")</f>
        <v>R</v>
      </c>
      <c r="M167" s="3">
        <v>261</v>
      </c>
      <c r="N167" s="3" t="str">
        <f>IFERROR(MID(VLOOKUP($B167,Seqs!$A:$B,2,0),O167,1),"")</f>
        <v>F</v>
      </c>
      <c r="O167" s="3">
        <v>285</v>
      </c>
      <c r="P167" s="3" t="str">
        <f>IFERROR(MID(VLOOKUP($B167,Seqs!$A:$B,2,0),Q167,1),"")</f>
        <v/>
      </c>
      <c r="Q167" s="3" t="s">
        <v>129</v>
      </c>
      <c r="R167" s="3" t="str">
        <f>IFERROR(MID(VLOOKUP($B167,Seqs!$A:$B,2,0),S167,1),"")</f>
        <v/>
      </c>
      <c r="S167" s="3" t="s">
        <v>129</v>
      </c>
      <c r="T167" s="3" t="str">
        <f>IFERROR(MID(VLOOKUP($B167,Seqs!$A:$B,2,0),U167,1),"")</f>
        <v>L</v>
      </c>
      <c r="U167" s="3">
        <v>312</v>
      </c>
      <c r="V167" s="3" t="str">
        <f>IFERROR(MID(VLOOKUP($B167,Seqs!$A:$B,2,0),W167,1),"")</f>
        <v>A</v>
      </c>
      <c r="W167" s="3">
        <v>345</v>
      </c>
      <c r="X167" s="3" t="str">
        <f>IFERROR(MID(VLOOKUP($B167,Seqs!$A:$B,2,0),Y167,1),"")</f>
        <v/>
      </c>
      <c r="Y167" s="3" t="s">
        <v>129</v>
      </c>
      <c r="Z167" s="3" t="str">
        <f>IFERROR(MID(VLOOKUP($B167,Seqs!$A:$B,2,0),AA167,1),"")</f>
        <v/>
      </c>
      <c r="AA167" s="3" t="s">
        <v>129</v>
      </c>
      <c r="AB167" s="3" t="str">
        <f>IFERROR(MID(VLOOKUP($B167,Seqs!$A:$B,2,0),AC167,1),"")</f>
        <v>L</v>
      </c>
      <c r="AC167" s="3">
        <v>353</v>
      </c>
      <c r="AD167" s="3" t="str">
        <f>IFERROR(MID(VLOOKUP($B167,Seqs!$A:$B,2,0),AE167,1),"")</f>
        <v>V</v>
      </c>
      <c r="AE167" s="3">
        <v>378</v>
      </c>
      <c r="AF167" s="3" t="str">
        <f>IFERROR(MID(VLOOKUP($B167,Seqs!$A:$B,2,0),AG167,1),"")</f>
        <v>C</v>
      </c>
      <c r="AG167" s="3">
        <v>390</v>
      </c>
      <c r="AH167" s="3" t="str">
        <f>IFERROR(MID(VLOOKUP($B167,Seqs!$A:$B,2,0),AI167,1),"")</f>
        <v>V</v>
      </c>
      <c r="AI167" s="3">
        <v>392</v>
      </c>
      <c r="AJ167" s="3" t="str">
        <f>IFERROR(MID(VLOOKUP($B167,Seqs!$A:$B,2,0),AK167,1),"")</f>
        <v>Y</v>
      </c>
      <c r="AK167" s="3">
        <v>397</v>
      </c>
      <c r="AL167" s="3" t="str">
        <f>IFERROR(MID(VLOOKUP($B167,Seqs!$A:$B,2,0),AM167,1),"")</f>
        <v>H</v>
      </c>
      <c r="AM167" s="3">
        <v>433</v>
      </c>
      <c r="AN167" s="3" t="str">
        <f>IFERROR(MID(VLOOKUP($B167,Seqs!$A:$B,2,0),AO167,1),"")</f>
        <v>E</v>
      </c>
      <c r="AO167" s="3">
        <v>447</v>
      </c>
      <c r="AP167" s="3" t="str">
        <f>IFERROR(MID(VLOOKUP($B167,Seqs!$A:$B,2,0),AQ167,1),"")</f>
        <v>A</v>
      </c>
      <c r="AQ167" s="3">
        <v>492</v>
      </c>
      <c r="AR167" s="3" t="str">
        <f>IFERROR(MID(VLOOKUP($B167,Seqs!$A:$B,2,0),AS167,1),"")</f>
        <v>L</v>
      </c>
      <c r="AS167" s="3">
        <v>515</v>
      </c>
      <c r="AT167" s="3" t="str">
        <f>IFERROR(MID(VLOOKUP($B167,Seqs!$A:$B,2,0),AU167,1),"")</f>
        <v>W</v>
      </c>
      <c r="AU167" s="3">
        <v>537</v>
      </c>
      <c r="AV167" s="3" t="str">
        <f>IFERROR(MID(VLOOKUP($B167,Seqs!$A:$B,2,0),AW167,1),"")</f>
        <v>T</v>
      </c>
      <c r="AW167" s="3">
        <v>538</v>
      </c>
      <c r="AX167" s="3" t="str">
        <f>IFERROR(MID(VLOOKUP($B167,Seqs!$A:$B,2,0),AY167,1),"")</f>
        <v>R</v>
      </c>
      <c r="AY167" s="3">
        <v>551</v>
      </c>
      <c r="BA167" s="124" t="str">
        <f>VLOOKUP(B167,Classification!A:D,2,0)</f>
        <v>F</v>
      </c>
      <c r="BE167" s="57">
        <f t="shared" si="141"/>
        <v>247</v>
      </c>
      <c r="BF167" s="63" t="b">
        <f t="shared" si="142"/>
        <v>1</v>
      </c>
      <c r="BG167" s="116" t="s">
        <v>1513</v>
      </c>
      <c r="BH167" s="102" t="s">
        <v>1513</v>
      </c>
      <c r="BI167" s="102" t="s">
        <v>1513</v>
      </c>
      <c r="BJ167" s="102" t="s">
        <v>1513</v>
      </c>
      <c r="BK167" s="102" t="s">
        <v>1513</v>
      </c>
      <c r="BL167" s="102" t="s">
        <v>1513</v>
      </c>
      <c r="BM167" s="102" t="s">
        <v>1513</v>
      </c>
      <c r="BN167" s="102" t="s">
        <v>1513</v>
      </c>
      <c r="BO167" s="102" t="s">
        <v>1513</v>
      </c>
      <c r="BP167" s="102" t="s">
        <v>1513</v>
      </c>
      <c r="BQ167" s="102" t="s">
        <v>1513</v>
      </c>
      <c r="BR167" s="102" t="s">
        <v>1513</v>
      </c>
      <c r="BS167" s="116">
        <f t="shared" si="143"/>
        <v>224</v>
      </c>
      <c r="BT167" s="117">
        <f t="shared" si="144"/>
        <v>256</v>
      </c>
      <c r="BU167" s="118">
        <f t="shared" si="145"/>
        <v>261</v>
      </c>
      <c r="BV167" s="117" t="str">
        <f t="shared" si="146"/>
        <v>-</v>
      </c>
      <c r="BW167" s="118">
        <f t="shared" si="147"/>
        <v>312</v>
      </c>
      <c r="BX167" s="117" t="str">
        <f t="shared" si="148"/>
        <v>-</v>
      </c>
      <c r="BY167" s="118">
        <f t="shared" si="149"/>
        <v>353</v>
      </c>
      <c r="BZ167" s="117">
        <f t="shared" si="150"/>
        <v>390</v>
      </c>
      <c r="CA167" s="118">
        <f t="shared" si="151"/>
        <v>397</v>
      </c>
      <c r="CB167" s="117">
        <f t="shared" si="152"/>
        <v>447</v>
      </c>
      <c r="CC167" s="118">
        <f t="shared" si="153"/>
        <v>515</v>
      </c>
      <c r="CD167" s="117">
        <f t="shared" si="154"/>
        <v>538</v>
      </c>
      <c r="CE167" s="116">
        <f t="shared" si="155"/>
        <v>255</v>
      </c>
      <c r="CF167" s="117">
        <f t="shared" si="156"/>
        <v>260</v>
      </c>
      <c r="CG167" s="118">
        <f t="shared" si="157"/>
        <v>285</v>
      </c>
      <c r="CH167" s="118" t="str">
        <f t="shared" si="158"/>
        <v>-</v>
      </c>
      <c r="CI167" s="118">
        <f t="shared" si="159"/>
        <v>345</v>
      </c>
      <c r="CJ167" s="118" t="str">
        <f t="shared" si="160"/>
        <v>-</v>
      </c>
      <c r="CK167" s="118">
        <f t="shared" si="161"/>
        <v>378</v>
      </c>
      <c r="CL167" s="118">
        <f t="shared" si="162"/>
        <v>392</v>
      </c>
      <c r="CM167" s="118">
        <f t="shared" si="163"/>
        <v>433</v>
      </c>
      <c r="CN167" s="118">
        <f t="shared" si="164"/>
        <v>492</v>
      </c>
      <c r="CO167" s="118">
        <f t="shared" si="165"/>
        <v>537</v>
      </c>
      <c r="CP167" s="118">
        <f t="shared" si="166"/>
        <v>551</v>
      </c>
      <c r="CQ167" s="57">
        <f t="shared" si="167"/>
        <v>1</v>
      </c>
    </row>
    <row r="169" spans="1:95" x14ac:dyDescent="0.2">
      <c r="I169" s="57"/>
      <c r="K169" s="57"/>
      <c r="BA169" s="124"/>
    </row>
  </sheetData>
  <sortState ref="A2:AML169">
    <sortCondition ref="BA2:BA169"/>
    <sortCondition ref="B2:B169"/>
    <sortCondition ref="C2:C16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F72 BF29:BR29 BF11:BR19">
    <cfRule type="cellIs" dxfId="50" priority="2" operator="equal">
      <formula>0</formula>
    </cfRule>
  </conditionalFormatting>
  <conditionalFormatting sqref="BF144:BF145">
    <cfRule type="cellIs" dxfId="49" priority="3" operator="equal">
      <formula>0</formula>
    </cfRule>
  </conditionalFormatting>
  <conditionalFormatting sqref="BF7">
    <cfRule type="cellIs" dxfId="48" priority="4" operator="equal">
      <formula>0</formula>
    </cfRule>
  </conditionalFormatting>
  <conditionalFormatting sqref="BF149">
    <cfRule type="cellIs" dxfId="47" priority="5" operator="equal">
      <formula>0</formula>
    </cfRule>
  </conditionalFormatting>
  <conditionalFormatting sqref="E149 AW149 AU149 AS149 AQ149 AO149 AM149 AK149 AI149 AG149 AE149 AC149 AA149 Y149 W149 U149 S149 Q149 O149 M149 K149 I149 G149">
    <cfRule type="cellIs" dxfId="46" priority="6" operator="equal">
      <formula>"G"</formula>
    </cfRule>
    <cfRule type="cellIs" dxfId="45" priority="7" operator="equal">
      <formula>"P"</formula>
    </cfRule>
  </conditionalFormatting>
  <conditionalFormatting sqref="BF10">
    <cfRule type="cellIs" dxfId="44" priority="8" operator="equal">
      <formula>0</formula>
    </cfRule>
  </conditionalFormatting>
  <conditionalFormatting sqref="BG10:BR10">
    <cfRule type="cellIs" dxfId="43" priority="9" operator="equal">
      <formula>0</formula>
    </cfRule>
  </conditionalFormatting>
  <conditionalFormatting sqref="BF6">
    <cfRule type="cellIs" dxfId="42" priority="12" operator="equal">
      <formula>0</formula>
    </cfRule>
  </conditionalFormatting>
  <conditionalFormatting sqref="BG6:BR6">
    <cfRule type="cellIs" dxfId="41" priority="13" operator="equal">
      <formula>0</formula>
    </cfRule>
  </conditionalFormatting>
  <conditionalFormatting sqref="E6 AW6 AU6 AS6 AQ6 AO6 AM6 AK6 AI6 AG6 AE6 AC6 AA6 Y6 W6 U6 S6 Q6 O6 M6 K6 I6 G6">
    <cfRule type="cellIs" dxfId="40" priority="14" operator="equal">
      <formula>"G"</formula>
    </cfRule>
    <cfRule type="cellIs" dxfId="39" priority="15" operator="equal">
      <formula>"P"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19" activePane="bottomLeft" state="frozenSplit"/>
      <selection pane="bottomLeft" activeCell="C40" sqref="C40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91" bestFit="1" customWidth="1"/>
    <col min="28" max="29" width="5.6640625" style="91" bestFit="1" customWidth="1"/>
    <col min="30" max="32" width="6" style="91" customWidth="1"/>
    <col min="33" max="34" width="4.6640625" style="91" customWidth="1"/>
    <col min="35" max="36" width="5.5" style="91" customWidth="1"/>
    <col min="37" max="37" width="5.33203125" style="4" customWidth="1"/>
    <col min="38" max="38" width="6" style="77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5">
      <c r="A1" s="66" t="s">
        <v>1282</v>
      </c>
      <c r="B1" s="66" t="s">
        <v>205</v>
      </c>
      <c r="C1" s="66" t="s">
        <v>1266</v>
      </c>
      <c r="D1" s="66" t="s">
        <v>1267</v>
      </c>
      <c r="E1" s="66" t="s">
        <v>1283</v>
      </c>
      <c r="F1" s="66" t="s">
        <v>1284</v>
      </c>
      <c r="G1" s="66" t="s">
        <v>1268</v>
      </c>
      <c r="H1" s="66" t="s">
        <v>1269</v>
      </c>
      <c r="I1" s="66" t="s">
        <v>1285</v>
      </c>
      <c r="J1" s="66" t="s">
        <v>1286</v>
      </c>
      <c r="K1" s="66" t="s">
        <v>1270</v>
      </c>
      <c r="L1" s="66" t="s">
        <v>1271</v>
      </c>
      <c r="M1" s="66" t="s">
        <v>1298</v>
      </c>
      <c r="N1" s="66" t="s">
        <v>1299</v>
      </c>
      <c r="O1" s="66" t="s">
        <v>1272</v>
      </c>
      <c r="P1" s="66" t="s">
        <v>1273</v>
      </c>
      <c r="Q1" s="66" t="s">
        <v>1301</v>
      </c>
      <c r="R1" s="66" t="s">
        <v>1302</v>
      </c>
      <c r="S1" s="66" t="s">
        <v>1274</v>
      </c>
      <c r="T1" s="89" t="s">
        <v>1275</v>
      </c>
      <c r="U1" s="66" t="s">
        <v>1276</v>
      </c>
      <c r="V1" s="66" t="s">
        <v>1277</v>
      </c>
      <c r="W1" s="66" t="s">
        <v>1278</v>
      </c>
      <c r="X1" s="66" t="s">
        <v>1279</v>
      </c>
      <c r="Y1" s="66" t="s">
        <v>1280</v>
      </c>
      <c r="Z1" s="66" t="s">
        <v>1281</v>
      </c>
      <c r="AA1" s="66" t="s">
        <v>291</v>
      </c>
      <c r="AB1" s="66" t="s">
        <v>1515</v>
      </c>
      <c r="AC1" s="66" t="s">
        <v>1514</v>
      </c>
      <c r="AD1" s="66" t="s">
        <v>1508</v>
      </c>
      <c r="AE1" s="66" t="s">
        <v>1451</v>
      </c>
      <c r="AF1" s="66" t="s">
        <v>1509</v>
      </c>
      <c r="AG1" s="66" t="s">
        <v>1462</v>
      </c>
      <c r="AH1" s="66" t="s">
        <v>1511</v>
      </c>
      <c r="AI1" s="66" t="s">
        <v>1510</v>
      </c>
      <c r="AJ1" s="66" t="s">
        <v>1516</v>
      </c>
      <c r="AK1" s="66" t="s">
        <v>1460</v>
      </c>
      <c r="AL1" s="76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</row>
    <row r="2" spans="1:62" s="90" customFormat="1" x14ac:dyDescent="0.25">
      <c r="A2" s="2" t="s">
        <v>1480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78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90" t="str">
        <f>VLOOKUP(B2,Classification!A:D,2,FALSE)</f>
        <v>C</v>
      </c>
      <c r="AB2" s="90">
        <f>VLOOKUP(B2,'NonXtal_SegEnds_Prot#'!A:AL,6,FALSE)-VLOOKUP(B2,'NonXtal_SegEnds_Prot#'!A:AL,5,FALSE)</f>
        <v>3</v>
      </c>
      <c r="AC2" s="90">
        <f>VLOOKUP(B2,'NonXtal_SegEnds_Prot#'!A:AL,9,FALSE)-VLOOKUP(B2,'NonXtal_SegEnds_Prot#'!A:AL,8,FALSE)</f>
        <v>1</v>
      </c>
      <c r="AD2" s="90" t="e">
        <f>VLOOKUP(B2,'NonXtal_SegEnds_Prot#'!A:AL,13,FALSE)-VLOOKUP(B2,'NonXtal_SegEnds_Prot#'!A:AL,10,FALSE)</f>
        <v>#VALUE!</v>
      </c>
      <c r="AE2" s="90" t="e">
        <f>VLOOKUP(B2,'NonXtal_SegEnds_Prot#'!A:AL,12,FALSE)-VLOOKUP(B2,'NonXtal_SegEnds_Prot#'!A:AL,11,FALSE)</f>
        <v>#VALUE!</v>
      </c>
      <c r="AF2" s="90" t="e">
        <f>VLOOKUP(B2,'NonXtal_SegEnds_Prot#'!A:AL,13,FALSE)-VLOOKUP(B2,'NonXtal_SegEnds_Prot#'!A:AL,11,FALSE)</f>
        <v>#VALUE!</v>
      </c>
      <c r="AG2" s="90">
        <f>VLOOKUP(B2,'NonXtal_SegEnds_Prot#'!A:AL,16,FALSE)-VLOOKUP(B2,'NonXtal_SegEnds_Prot#'!A:AL,10,FALSE)</f>
        <v>44</v>
      </c>
      <c r="AH2" s="90">
        <f>VLOOKUP(B2,'NonXtal_SegEnds_Prot#'!A:AL,16,FALSE)-VLOOKUP(B2,'NonXtal_SegEnds_Prot#'!A:AL,11,FALSE)</f>
        <v>33</v>
      </c>
      <c r="AI2" s="90" t="e">
        <f>VLOOKUP(B2,'NonXtal_SegEnds_Prot#'!A:AL,15,FALSE)-VLOOKUP(B2,'NonXtal_SegEnds_Prot#'!A:AL,14,FALSE)</f>
        <v>#VALUE!</v>
      </c>
      <c r="AJ2" s="90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75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5">
      <c r="A3" s="2" t="s">
        <v>1481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78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90" t="str">
        <f>VLOOKUP(B3,Classification!A:D,2,FALSE)</f>
        <v>C</v>
      </c>
      <c r="AB3" s="90">
        <f>VLOOKUP(B3,'NonXtal_SegEnds_Prot#'!A:AL,6,FALSE)-VLOOKUP(B3,'NonXtal_SegEnds_Prot#'!A:AL,5,FALSE)</f>
        <v>3</v>
      </c>
      <c r="AC3" s="90">
        <f>VLOOKUP(B3,'NonXtal_SegEnds_Prot#'!A:AL,9,FALSE)-VLOOKUP(B3,'NonXtal_SegEnds_Prot#'!A:AL,8,FALSE)</f>
        <v>1</v>
      </c>
      <c r="AD3" s="90" t="e">
        <f>VLOOKUP(B3,'NonXtal_SegEnds_Prot#'!A:AL,13,FALSE)-VLOOKUP(B3,'NonXtal_SegEnds_Prot#'!A:AL,10,FALSE)</f>
        <v>#VALUE!</v>
      </c>
      <c r="AE3" s="90" t="e">
        <f>VLOOKUP(B3,'NonXtal_SegEnds_Prot#'!A:AL,12,FALSE)-VLOOKUP(B3,'NonXtal_SegEnds_Prot#'!A:AL,11,FALSE)</f>
        <v>#VALUE!</v>
      </c>
      <c r="AF3" s="90" t="e">
        <f>VLOOKUP(B3,'NonXtal_SegEnds_Prot#'!A:AL,13,FALSE)-VLOOKUP(B3,'NonXtal_SegEnds_Prot#'!A:AL,11,FALSE)</f>
        <v>#VALUE!</v>
      </c>
      <c r="AG3" s="90">
        <f>VLOOKUP(B3,'NonXtal_SegEnds_Prot#'!A:AL,16,FALSE)-VLOOKUP(B3,'NonXtal_SegEnds_Prot#'!A:AL,10,FALSE)</f>
        <v>44</v>
      </c>
      <c r="AH3" s="90">
        <f>VLOOKUP(B3,'NonXtal_SegEnds_Prot#'!A:AL,16,FALSE)-VLOOKUP(B3,'NonXtal_SegEnds_Prot#'!A:AL,11,FALSE)</f>
        <v>33</v>
      </c>
      <c r="AI3" s="90" t="e">
        <f>VLOOKUP(B3,'NonXtal_SegEnds_Prot#'!A:AL,15,FALSE)-VLOOKUP(B3,'NonXtal_SegEnds_Prot#'!A:AL,14,FALSE)</f>
        <v>#VALUE!</v>
      </c>
      <c r="AJ3" s="90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75"/>
    </row>
    <row r="4" spans="1:62" s="2" customFormat="1" x14ac:dyDescent="0.25">
      <c r="A4" s="2" t="s">
        <v>1475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78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90" t="str">
        <f>VLOOKUP(B4,Classification!A:D,2,FALSE)</f>
        <v>B1</v>
      </c>
      <c r="AB4" s="90">
        <f>VLOOKUP(B4,'NonXtal_SegEnds_Prot#'!A:AL,6,FALSE)-VLOOKUP(B4,'NonXtal_SegEnds_Prot#'!A:AL,5,FALSE)</f>
        <v>1</v>
      </c>
      <c r="AC4" s="90">
        <f>VLOOKUP(B4,'NonXtal_SegEnds_Prot#'!A:AL,9,FALSE)-VLOOKUP(B4,'NonXtal_SegEnds_Prot#'!A:AL,8,FALSE)</f>
        <v>1</v>
      </c>
      <c r="AD4" s="90" t="e">
        <f>VLOOKUP(B4,'NonXtal_SegEnds_Prot#'!A:AL,13,FALSE)-VLOOKUP(B4,'NonXtal_SegEnds_Prot#'!A:AL,10,FALSE)</f>
        <v>#VALUE!</v>
      </c>
      <c r="AE4" s="90" t="e">
        <f>VLOOKUP(B4,'NonXtal_SegEnds_Prot#'!A:AL,12,FALSE)-VLOOKUP(B4,'NonXtal_SegEnds_Prot#'!A:AL,11,FALSE)</f>
        <v>#VALUE!</v>
      </c>
      <c r="AF4" s="90" t="e">
        <f>VLOOKUP(B4,'NonXtal_SegEnds_Prot#'!A:AL,13,FALSE)-VLOOKUP(B4,'NonXtal_SegEnds_Prot#'!A:AL,11,FALSE)</f>
        <v>#VALUE!</v>
      </c>
      <c r="AG4" s="90">
        <f>VLOOKUP(B4,'NonXtal_SegEnds_Prot#'!A:AL,16,FALSE)-VLOOKUP(B4,'NonXtal_SegEnds_Prot#'!A:AL,10,FALSE)</f>
        <v>51</v>
      </c>
      <c r="AH4" s="90">
        <f>VLOOKUP(B4,'NonXtal_SegEnds_Prot#'!A:AL,16,FALSE)-VLOOKUP(B4,'NonXtal_SegEnds_Prot#'!A:AL,11,FALSE)</f>
        <v>38</v>
      </c>
      <c r="AI4" s="90" t="e">
        <f>VLOOKUP(B4,'NonXtal_SegEnds_Prot#'!A:AL,15,FALSE)-VLOOKUP(B4,'NonXtal_SegEnds_Prot#'!A:AL,14,FALSE)</f>
        <v>#VALUE!</v>
      </c>
      <c r="AJ4" s="90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75"/>
    </row>
    <row r="5" spans="1:62" s="2" customFormat="1" x14ac:dyDescent="0.25">
      <c r="A5" s="2" t="s">
        <v>1479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78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90" t="str">
        <f>VLOOKUP(B5,Classification!A:D,2,FALSE)</f>
        <v>B1</v>
      </c>
      <c r="AB5" s="90">
        <f>VLOOKUP(B5,'NonXtal_SegEnds_Prot#'!A:AL,6,FALSE)-VLOOKUP(B5,'NonXtal_SegEnds_Prot#'!A:AL,5,FALSE)</f>
        <v>1</v>
      </c>
      <c r="AC5" s="90">
        <f>VLOOKUP(B5,'NonXtal_SegEnds_Prot#'!A:AL,9,FALSE)-VLOOKUP(B5,'NonXtal_SegEnds_Prot#'!A:AL,8,FALSE)</f>
        <v>1</v>
      </c>
      <c r="AD5" s="90" t="e">
        <f>VLOOKUP(B5,'NonXtal_SegEnds_Prot#'!A:AL,13,FALSE)-VLOOKUP(B5,'NonXtal_SegEnds_Prot#'!A:AL,10,FALSE)</f>
        <v>#VALUE!</v>
      </c>
      <c r="AE5" s="90" t="e">
        <f>VLOOKUP(B5,'NonXtal_SegEnds_Prot#'!A:AL,12,FALSE)-VLOOKUP(B5,'NonXtal_SegEnds_Prot#'!A:AL,11,FALSE)</f>
        <v>#VALUE!</v>
      </c>
      <c r="AF5" s="90" t="e">
        <f>VLOOKUP(B5,'NonXtal_SegEnds_Prot#'!A:AL,13,FALSE)-VLOOKUP(B5,'NonXtal_SegEnds_Prot#'!A:AL,11,FALSE)</f>
        <v>#VALUE!</v>
      </c>
      <c r="AG5" s="90">
        <f>VLOOKUP(B5,'NonXtal_SegEnds_Prot#'!A:AL,16,FALSE)-VLOOKUP(B5,'NonXtal_SegEnds_Prot#'!A:AL,10,FALSE)</f>
        <v>65</v>
      </c>
      <c r="AH5" s="90">
        <f>VLOOKUP(B5,'NonXtal_SegEnds_Prot#'!A:AL,16,FALSE)-VLOOKUP(B5,'NonXtal_SegEnds_Prot#'!A:AL,11,FALSE)</f>
        <v>50</v>
      </c>
      <c r="AI5" s="90" t="e">
        <f>VLOOKUP(B5,'NonXtal_SegEnds_Prot#'!A:AL,15,FALSE)-VLOOKUP(B5,'NonXtal_SegEnds_Prot#'!A:AL,14,FALSE)</f>
        <v>#VALUE!</v>
      </c>
      <c r="AJ5" s="90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75"/>
    </row>
    <row r="6" spans="1:62" s="2" customFormat="1" x14ac:dyDescent="0.25">
      <c r="A6" s="2" t="s">
        <v>1478</v>
      </c>
      <c r="B6" s="2" t="s">
        <v>1391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78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90" t="str">
        <f>VLOOKUP(B6,Classification!A:D,2,FALSE)</f>
        <v>A</v>
      </c>
      <c r="AB6" s="90" t="e">
        <f>VLOOKUP(B6,'NonXtal_SegEnds_Prot#'!A:AL,6,FALSE)-VLOOKUP(B6,'NonXtal_SegEnds_Prot#'!A:AL,5,FALSE)</f>
        <v>#VALUE!</v>
      </c>
      <c r="AC6" s="90" t="e">
        <f>VLOOKUP(B6,'NonXtal_SegEnds_Prot#'!A:AL,9,FALSE)-VLOOKUP(B6,'NonXtal_SegEnds_Prot#'!A:AL,8,FALSE)</f>
        <v>#VALUE!</v>
      </c>
      <c r="AD6" s="90">
        <f>VLOOKUP(B6,'NonXtal_SegEnds_Prot#'!A:AL,13,FALSE)-VLOOKUP(B6,'NonXtal_SegEnds_Prot#'!A:AL,10,FALSE)</f>
        <v>20</v>
      </c>
      <c r="AE6" s="90">
        <f>VLOOKUP(B6,'NonXtal_SegEnds_Prot#'!A:AL,12,FALSE)-VLOOKUP(B6,'NonXtal_SegEnds_Prot#'!A:AL,11,FALSE)</f>
        <v>3</v>
      </c>
      <c r="AF6" s="90">
        <f>VLOOKUP(B6,'NonXtal_SegEnds_Prot#'!A:AL,13,FALSE)-VLOOKUP(B6,'NonXtal_SegEnds_Prot#'!A:AL,11,FALSE)</f>
        <v>4</v>
      </c>
      <c r="AG6" s="90">
        <f>VLOOKUP(B6,'NonXtal_SegEnds_Prot#'!A:AL,16,FALSE)-VLOOKUP(B6,'NonXtal_SegEnds_Prot#'!A:AL,10,FALSE)</f>
        <v>52</v>
      </c>
      <c r="AH6" s="90">
        <f>VLOOKUP(B6,'NonXtal_SegEnds_Prot#'!A:AL,16,FALSE)-VLOOKUP(B6,'NonXtal_SegEnds_Prot#'!A:AL,11,FALSE)</f>
        <v>36</v>
      </c>
      <c r="AI6" s="90">
        <f>VLOOKUP(B6,'NonXtal_SegEnds_Prot#'!A:AL,15,FALSE)-VLOOKUP(B6,'NonXtal_SegEnds_Prot#'!A:AL,14,FALSE)</f>
        <v>1</v>
      </c>
      <c r="AJ6" s="90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75"/>
      <c r="AM6" s="2" t="s">
        <v>1504</v>
      </c>
      <c r="AN6" s="2" t="s">
        <v>1506</v>
      </c>
    </row>
    <row r="7" spans="1:62" x14ac:dyDescent="0.25">
      <c r="A7" s="2" t="s">
        <v>1469</v>
      </c>
      <c r="B7" s="2" t="s">
        <v>1105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78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90" t="str">
        <f>VLOOKUP(B7,Classification!A:D,2,FALSE)</f>
        <v>A</v>
      </c>
      <c r="AB7" s="90">
        <f>VLOOKUP(B7,'NonXtal_SegEnds_Prot#'!A:AL,6,FALSE)-VLOOKUP(B7,'NonXtal_SegEnds_Prot#'!A:AL,5,FALSE)</f>
        <v>1</v>
      </c>
      <c r="AC7" s="90">
        <f>VLOOKUP(B7,'NonXtal_SegEnds_Prot#'!A:AL,9,FALSE)-VLOOKUP(B7,'NonXtal_SegEnds_Prot#'!A:AL,8,FALSE)</f>
        <v>1</v>
      </c>
      <c r="AD7" s="90">
        <f>VLOOKUP(B7,'NonXtal_SegEnds_Prot#'!A:AL,13,FALSE)-VLOOKUP(B7,'NonXtal_SegEnds_Prot#'!A:AL,10,FALSE)</f>
        <v>20</v>
      </c>
      <c r="AE7" s="90">
        <f>VLOOKUP(B7,'NonXtal_SegEnds_Prot#'!A:AL,12,FALSE)-VLOOKUP(B7,'NonXtal_SegEnds_Prot#'!A:AL,11,FALSE)</f>
        <v>2</v>
      </c>
      <c r="AF7" s="90">
        <f>VLOOKUP(B7,'NonXtal_SegEnds_Prot#'!A:AL,13,FALSE)-VLOOKUP(B7,'NonXtal_SegEnds_Prot#'!A:AL,11,FALSE)</f>
        <v>3</v>
      </c>
      <c r="AG7" s="90">
        <f>VLOOKUP(B7,'NonXtal_SegEnds_Prot#'!A:AL,16,FALSE)-VLOOKUP(B7,'NonXtal_SegEnds_Prot#'!A:AL,10,FALSE)</f>
        <v>52</v>
      </c>
      <c r="AH7" s="90">
        <f>VLOOKUP(B7,'NonXtal_SegEnds_Prot#'!A:AL,16,FALSE)-VLOOKUP(B7,'NonXtal_SegEnds_Prot#'!A:AL,11,FALSE)</f>
        <v>35</v>
      </c>
      <c r="AI7" s="90">
        <f>VLOOKUP(B7,'NonXtal_SegEnds_Prot#'!A:AL,15,FALSE)-VLOOKUP(B7,'NonXtal_SegEnds_Prot#'!A:AL,14,FALSE)</f>
        <v>1</v>
      </c>
      <c r="AJ7" s="90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75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5">
      <c r="A8" s="2" t="s">
        <v>1483</v>
      </c>
      <c r="B8" s="2" t="s">
        <v>296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78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90" t="str">
        <f>VLOOKUP(B8,Classification!A:D,2,FALSE)</f>
        <v>A</v>
      </c>
      <c r="AB8" s="90">
        <f>VLOOKUP(B8,'NonXtal_SegEnds_Prot#'!A:AL,6,FALSE)-VLOOKUP(B8,'NonXtal_SegEnds_Prot#'!A:AL,5,FALSE)</f>
        <v>1</v>
      </c>
      <c r="AC8" s="90">
        <f>VLOOKUP(B8,'NonXtal_SegEnds_Prot#'!A:AL,9,FALSE)-VLOOKUP(B8,'NonXtal_SegEnds_Prot#'!A:AL,8,FALSE)</f>
        <v>1</v>
      </c>
      <c r="AD8" s="90">
        <f>VLOOKUP(B8,'NonXtal_SegEnds_Prot#'!A:AL,13,FALSE)-VLOOKUP(B8,'NonXtal_SegEnds_Prot#'!A:AL,10,FALSE)</f>
        <v>18</v>
      </c>
      <c r="AE8" s="90">
        <f>VLOOKUP(B8,'NonXtal_SegEnds_Prot#'!A:AL,12,FALSE)-VLOOKUP(B8,'NonXtal_SegEnds_Prot#'!A:AL,11,FALSE)</f>
        <v>2</v>
      </c>
      <c r="AF8" s="90">
        <f>VLOOKUP(B8,'NonXtal_SegEnds_Prot#'!A:AL,13,FALSE)-VLOOKUP(B8,'NonXtal_SegEnds_Prot#'!A:AL,11,FALSE)</f>
        <v>5</v>
      </c>
      <c r="AG8" s="90">
        <f>VLOOKUP(B8,'NonXtal_SegEnds_Prot#'!A:AL,16,FALSE)-VLOOKUP(B8,'NonXtal_SegEnds_Prot#'!A:AL,10,FALSE)</f>
        <v>51</v>
      </c>
      <c r="AH8" s="90">
        <f>VLOOKUP(B8,'NonXtal_SegEnds_Prot#'!A:AL,16,FALSE)-VLOOKUP(B8,'NonXtal_SegEnds_Prot#'!A:AL,11,FALSE)</f>
        <v>38</v>
      </c>
      <c r="AI8" s="90">
        <f>VLOOKUP(B8,'NonXtal_SegEnds_Prot#'!A:AL,15,FALSE)-VLOOKUP(B8,'NonXtal_SegEnds_Prot#'!A:AL,14,FALSE)</f>
        <v>1</v>
      </c>
      <c r="AJ8" s="90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75"/>
    </row>
    <row r="9" spans="1:62" s="2" customFormat="1" x14ac:dyDescent="0.25">
      <c r="A9" s="2" t="s">
        <v>1471</v>
      </c>
      <c r="B9" s="2" t="s">
        <v>1107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78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90" t="str">
        <f>VLOOKUP(B9,Classification!A:D,2,FALSE)</f>
        <v>A</v>
      </c>
      <c r="AB9" s="90">
        <f>VLOOKUP(B9,'NonXtal_SegEnds_Prot#'!A:AL,6,FALSE)-VLOOKUP(B9,'NonXtal_SegEnds_Prot#'!A:AL,5,FALSE)</f>
        <v>1</v>
      </c>
      <c r="AC9" s="90">
        <f>VLOOKUP(B9,'NonXtal_SegEnds_Prot#'!A:AL,9,FALSE)-VLOOKUP(B9,'NonXtal_SegEnds_Prot#'!A:AL,8,FALSE)</f>
        <v>1</v>
      </c>
      <c r="AD9" s="90">
        <f>VLOOKUP(B9,'NonXtal_SegEnds_Prot#'!A:AL,13,FALSE)-VLOOKUP(B9,'NonXtal_SegEnds_Prot#'!A:AL,10,FALSE)</f>
        <v>20</v>
      </c>
      <c r="AE9" s="90">
        <f>VLOOKUP(B9,'NonXtal_SegEnds_Prot#'!A:AL,12,FALSE)-VLOOKUP(B9,'NonXtal_SegEnds_Prot#'!A:AL,11,FALSE)</f>
        <v>2</v>
      </c>
      <c r="AF9" s="90">
        <f>VLOOKUP(B9,'NonXtal_SegEnds_Prot#'!A:AL,13,FALSE)-VLOOKUP(B9,'NonXtal_SegEnds_Prot#'!A:AL,11,FALSE)</f>
        <v>3</v>
      </c>
      <c r="AG9" s="90">
        <f>VLOOKUP(B9,'NonXtal_SegEnds_Prot#'!A:AL,16,FALSE)-VLOOKUP(B9,'NonXtal_SegEnds_Prot#'!A:AL,10,FALSE)</f>
        <v>52</v>
      </c>
      <c r="AH9" s="90">
        <f>VLOOKUP(B9,'NonXtal_SegEnds_Prot#'!A:AL,16,FALSE)-VLOOKUP(B9,'NonXtal_SegEnds_Prot#'!A:AL,11,FALSE)</f>
        <v>35</v>
      </c>
      <c r="AI9" s="90">
        <f>VLOOKUP(B9,'NonXtal_SegEnds_Prot#'!A:AL,15,FALSE)-VLOOKUP(B9,'NonXtal_SegEnds_Prot#'!A:AL,14,FALSE)</f>
        <v>1</v>
      </c>
      <c r="AJ9" s="90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75"/>
    </row>
    <row r="10" spans="1:62" s="2" customFormat="1" x14ac:dyDescent="0.25">
      <c r="A10" s="2" t="s">
        <v>1472</v>
      </c>
      <c r="B10" s="2" t="s">
        <v>319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78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90" t="str">
        <f>VLOOKUP(B10,Classification!A:D,2,FALSE)</f>
        <v>A</v>
      </c>
      <c r="AB10" s="90">
        <f>VLOOKUP(B10,'NonXtal_SegEnds_Prot#'!A:AL,6,FALSE)-VLOOKUP(B10,'NonXtal_SegEnds_Prot#'!A:AL,5,FALSE)</f>
        <v>1</v>
      </c>
      <c r="AC10" s="90">
        <f>VLOOKUP(B10,'NonXtal_SegEnds_Prot#'!A:AL,9,FALSE)-VLOOKUP(B10,'NonXtal_SegEnds_Prot#'!A:AL,8,FALSE)</f>
        <v>1</v>
      </c>
      <c r="AD10" s="90">
        <f>VLOOKUP(B10,'NonXtal_SegEnds_Prot#'!A:AL,13,FALSE)-VLOOKUP(B10,'NonXtal_SegEnds_Prot#'!A:AL,10,FALSE)</f>
        <v>20</v>
      </c>
      <c r="AE10" s="90">
        <f>VLOOKUP(B10,'NonXtal_SegEnds_Prot#'!A:AL,12,FALSE)-VLOOKUP(B10,'NonXtal_SegEnds_Prot#'!A:AL,11,FALSE)</f>
        <v>2</v>
      </c>
      <c r="AF10" s="90">
        <f>VLOOKUP(B10,'NonXtal_SegEnds_Prot#'!A:AL,13,FALSE)-VLOOKUP(B10,'NonXtal_SegEnds_Prot#'!A:AL,11,FALSE)</f>
        <v>3</v>
      </c>
      <c r="AG10" s="90">
        <f>VLOOKUP(B10,'NonXtal_SegEnds_Prot#'!A:AL,16,FALSE)-VLOOKUP(B10,'NonXtal_SegEnds_Prot#'!A:AL,10,FALSE)</f>
        <v>52</v>
      </c>
      <c r="AH10" s="90">
        <f>VLOOKUP(B10,'NonXtal_SegEnds_Prot#'!A:AL,16,FALSE)-VLOOKUP(B10,'NonXtal_SegEnds_Prot#'!A:AL,11,FALSE)</f>
        <v>35</v>
      </c>
      <c r="AI10" s="90">
        <f>VLOOKUP(B10,'NonXtal_SegEnds_Prot#'!A:AL,15,FALSE)-VLOOKUP(B10,'NonXtal_SegEnds_Prot#'!A:AL,14,FALSE)</f>
        <v>1</v>
      </c>
      <c r="AJ10" s="90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75"/>
    </row>
    <row r="11" spans="1:62" s="2" customFormat="1" x14ac:dyDescent="0.25">
      <c r="A11" s="2" t="s">
        <v>1470</v>
      </c>
      <c r="B11" s="2" t="s">
        <v>342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78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90" t="str">
        <f>VLOOKUP(B11,Classification!A:D,2,FALSE)</f>
        <v>A</v>
      </c>
      <c r="AB11" s="90">
        <f>VLOOKUP(B11,'NonXtal_SegEnds_Prot#'!A:AL,6,FALSE)-VLOOKUP(B11,'NonXtal_SegEnds_Prot#'!A:AL,5,FALSE)</f>
        <v>1</v>
      </c>
      <c r="AC11" s="90">
        <f>VLOOKUP(B11,'NonXtal_SegEnds_Prot#'!A:AL,9,FALSE)-VLOOKUP(B11,'NonXtal_SegEnds_Prot#'!A:AL,8,FALSE)</f>
        <v>1</v>
      </c>
      <c r="AD11" s="90">
        <f>VLOOKUP(B11,'NonXtal_SegEnds_Prot#'!A:AL,13,FALSE)-VLOOKUP(B11,'NonXtal_SegEnds_Prot#'!A:AL,10,FALSE)</f>
        <v>20</v>
      </c>
      <c r="AE11" s="90">
        <f>VLOOKUP(B11,'NonXtal_SegEnds_Prot#'!A:AL,12,FALSE)-VLOOKUP(B11,'NonXtal_SegEnds_Prot#'!A:AL,11,FALSE)</f>
        <v>2</v>
      </c>
      <c r="AF11" s="90">
        <f>VLOOKUP(B11,'NonXtal_SegEnds_Prot#'!A:AL,13,FALSE)-VLOOKUP(B11,'NonXtal_SegEnds_Prot#'!A:AL,11,FALSE)</f>
        <v>3</v>
      </c>
      <c r="AG11" s="90">
        <f>VLOOKUP(B11,'NonXtal_SegEnds_Prot#'!A:AL,16,FALSE)-VLOOKUP(B11,'NonXtal_SegEnds_Prot#'!A:AL,10,FALSE)</f>
        <v>52</v>
      </c>
      <c r="AH11" s="90">
        <f>VLOOKUP(B11,'NonXtal_SegEnds_Prot#'!A:AL,16,FALSE)-VLOOKUP(B11,'NonXtal_SegEnds_Prot#'!A:AL,11,FALSE)</f>
        <v>35</v>
      </c>
      <c r="AI11" s="90">
        <f>VLOOKUP(B11,'NonXtal_SegEnds_Prot#'!A:AL,15,FALSE)-VLOOKUP(B11,'NonXtal_SegEnds_Prot#'!A:AL,14,FALSE)</f>
        <v>1</v>
      </c>
      <c r="AJ11" s="90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75"/>
    </row>
    <row r="12" spans="1:62" s="2" customFormat="1" x14ac:dyDescent="0.25">
      <c r="A12" s="2" t="s">
        <v>1468</v>
      </c>
      <c r="B12" s="2" t="s">
        <v>340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78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90" t="str">
        <f>VLOOKUP(B12,Classification!A:D,2,FALSE)</f>
        <v>A</v>
      </c>
      <c r="AB12" s="90">
        <f>VLOOKUP(B12,'NonXtal_SegEnds_Prot#'!A:AL,6,FALSE)-VLOOKUP(B12,'NonXtal_SegEnds_Prot#'!A:AL,5,FALSE)</f>
        <v>1</v>
      </c>
      <c r="AC12" s="90">
        <f>VLOOKUP(B12,'NonXtal_SegEnds_Prot#'!A:AL,9,FALSE)-VLOOKUP(B12,'NonXtal_SegEnds_Prot#'!A:AL,8,FALSE)</f>
        <v>1</v>
      </c>
      <c r="AD12" s="90">
        <f>VLOOKUP(B12,'NonXtal_SegEnds_Prot#'!A:AL,13,FALSE)-VLOOKUP(B12,'NonXtal_SegEnds_Prot#'!A:AL,10,FALSE)</f>
        <v>20</v>
      </c>
      <c r="AE12" s="90">
        <f>VLOOKUP(B12,'NonXtal_SegEnds_Prot#'!A:AL,12,FALSE)-VLOOKUP(B12,'NonXtal_SegEnds_Prot#'!A:AL,11,FALSE)</f>
        <v>2</v>
      </c>
      <c r="AF12" s="90">
        <f>VLOOKUP(B12,'NonXtal_SegEnds_Prot#'!A:AL,13,FALSE)-VLOOKUP(B12,'NonXtal_SegEnds_Prot#'!A:AL,11,FALSE)</f>
        <v>3</v>
      </c>
      <c r="AG12" s="90">
        <f>VLOOKUP(B12,'NonXtal_SegEnds_Prot#'!A:AL,16,FALSE)-VLOOKUP(B12,'NonXtal_SegEnds_Prot#'!A:AL,10,FALSE)</f>
        <v>52</v>
      </c>
      <c r="AH12" s="90">
        <f>VLOOKUP(B12,'NonXtal_SegEnds_Prot#'!A:AL,16,FALSE)-VLOOKUP(B12,'NonXtal_SegEnds_Prot#'!A:AL,11,FALSE)</f>
        <v>35</v>
      </c>
      <c r="AI12" s="90">
        <f>VLOOKUP(B12,'NonXtal_SegEnds_Prot#'!A:AL,15,FALSE)-VLOOKUP(B12,'NonXtal_SegEnds_Prot#'!A:AL,14,FALSE)</f>
        <v>1</v>
      </c>
      <c r="AJ12" s="90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75"/>
    </row>
    <row r="13" spans="1:62" s="2" customFormat="1" x14ac:dyDescent="0.25">
      <c r="A13" s="2" t="s">
        <v>1467</v>
      </c>
      <c r="B13" s="2" t="s">
        <v>339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78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90" t="str">
        <f>VLOOKUP(B13,Classification!A:D,2,FALSE)</f>
        <v>A</v>
      </c>
      <c r="AB13" s="90">
        <f>VLOOKUP(B13,'NonXtal_SegEnds_Prot#'!A:AL,6,FALSE)-VLOOKUP(B13,'NonXtal_SegEnds_Prot#'!A:AL,5,FALSE)</f>
        <v>1</v>
      </c>
      <c r="AC13" s="90">
        <f>VLOOKUP(B13,'NonXtal_SegEnds_Prot#'!A:AL,9,FALSE)-VLOOKUP(B13,'NonXtal_SegEnds_Prot#'!A:AL,8,FALSE)</f>
        <v>1</v>
      </c>
      <c r="AD13" s="90">
        <f>VLOOKUP(B13,'NonXtal_SegEnds_Prot#'!A:AL,13,FALSE)-VLOOKUP(B13,'NonXtal_SegEnds_Prot#'!A:AL,10,FALSE)</f>
        <v>20</v>
      </c>
      <c r="AE13" s="90">
        <f>VLOOKUP(B13,'NonXtal_SegEnds_Prot#'!A:AL,12,FALSE)-VLOOKUP(B13,'NonXtal_SegEnds_Prot#'!A:AL,11,FALSE)</f>
        <v>2</v>
      </c>
      <c r="AF13" s="90">
        <f>VLOOKUP(B13,'NonXtal_SegEnds_Prot#'!A:AL,13,FALSE)-VLOOKUP(B13,'NonXtal_SegEnds_Prot#'!A:AL,11,FALSE)</f>
        <v>3</v>
      </c>
      <c r="AG13" s="90">
        <f>VLOOKUP(B13,'NonXtal_SegEnds_Prot#'!A:AL,16,FALSE)-VLOOKUP(B13,'NonXtal_SegEnds_Prot#'!A:AL,10,FALSE)</f>
        <v>52</v>
      </c>
      <c r="AH13" s="90">
        <f>VLOOKUP(B13,'NonXtal_SegEnds_Prot#'!A:AL,16,FALSE)-VLOOKUP(B13,'NonXtal_SegEnds_Prot#'!A:AL,11,FALSE)</f>
        <v>35</v>
      </c>
      <c r="AI13" s="90">
        <f>VLOOKUP(B13,'NonXtal_SegEnds_Prot#'!A:AL,15,FALSE)-VLOOKUP(B13,'NonXtal_SegEnds_Prot#'!A:AL,14,FALSE)</f>
        <v>1</v>
      </c>
      <c r="AJ13" s="90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75"/>
    </row>
    <row r="14" spans="1:62" s="2" customFormat="1" x14ac:dyDescent="0.25">
      <c r="A14" s="2" t="s">
        <v>1482</v>
      </c>
      <c r="B14" s="2" t="s">
        <v>471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78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90" t="str">
        <f>VLOOKUP(B14,Classification!A:D,2,FALSE)</f>
        <v>A</v>
      </c>
      <c r="AB14" s="90">
        <f>VLOOKUP(B14,'NonXtal_SegEnds_Prot#'!A:AL,6,FALSE)-VLOOKUP(B14,'NonXtal_SegEnds_Prot#'!A:AL,5,FALSE)</f>
        <v>1</v>
      </c>
      <c r="AC14" s="90">
        <f>VLOOKUP(B14,'NonXtal_SegEnds_Prot#'!A:AL,9,FALSE)-VLOOKUP(B14,'NonXtal_SegEnds_Prot#'!A:AL,8,FALSE)</f>
        <v>1</v>
      </c>
      <c r="AD14" s="90">
        <f>VLOOKUP(B14,'NonXtal_SegEnds_Prot#'!A:AL,13,FALSE)-VLOOKUP(B14,'NonXtal_SegEnds_Prot#'!A:AL,10,FALSE)</f>
        <v>20</v>
      </c>
      <c r="AE14" s="90">
        <f>VLOOKUP(B14,'NonXtal_SegEnds_Prot#'!A:AL,12,FALSE)-VLOOKUP(B14,'NonXtal_SegEnds_Prot#'!A:AL,11,FALSE)</f>
        <v>2</v>
      </c>
      <c r="AF14" s="90">
        <f>VLOOKUP(B14,'NonXtal_SegEnds_Prot#'!A:AL,13,FALSE)-VLOOKUP(B14,'NonXtal_SegEnds_Prot#'!A:AL,11,FALSE)</f>
        <v>3</v>
      </c>
      <c r="AG14" s="90">
        <f>VLOOKUP(B14,'NonXtal_SegEnds_Prot#'!A:AL,16,FALSE)-VLOOKUP(B14,'NonXtal_SegEnds_Prot#'!A:AL,10,FALSE)</f>
        <v>52</v>
      </c>
      <c r="AH14" s="90">
        <f>VLOOKUP(B14,'NonXtal_SegEnds_Prot#'!A:AL,16,FALSE)-VLOOKUP(B14,'NonXtal_SegEnds_Prot#'!A:AL,11,FALSE)</f>
        <v>35</v>
      </c>
      <c r="AI14" s="90">
        <f>VLOOKUP(B14,'NonXtal_SegEnds_Prot#'!A:AL,15,FALSE)-VLOOKUP(B14,'NonXtal_SegEnds_Prot#'!A:AL,14,FALSE)</f>
        <v>1</v>
      </c>
      <c r="AJ14" s="90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75"/>
    </row>
    <row r="15" spans="1:62" s="2" customFormat="1" x14ac:dyDescent="0.25">
      <c r="A15" s="2" t="s">
        <v>1492</v>
      </c>
      <c r="B15" s="2" t="s">
        <v>1117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78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90" t="str">
        <f>VLOOKUP(B15,Classification!A:D,2,FALSE)</f>
        <v>A</v>
      </c>
      <c r="AB15" s="90">
        <f>VLOOKUP(B15,'NonXtal_SegEnds_Prot#'!A:AL,6,FALSE)-VLOOKUP(B15,'NonXtal_SegEnds_Prot#'!A:AL,5,FALSE)</f>
        <v>1</v>
      </c>
      <c r="AC15" s="90">
        <f>VLOOKUP(B15,'NonXtal_SegEnds_Prot#'!A:AL,9,FALSE)-VLOOKUP(B15,'NonXtal_SegEnds_Prot#'!A:AL,8,FALSE)</f>
        <v>1</v>
      </c>
      <c r="AD15" s="90">
        <f>VLOOKUP(B15,'NonXtal_SegEnds_Prot#'!A:AL,13,FALSE)-VLOOKUP(B15,'NonXtal_SegEnds_Prot#'!A:AL,10,FALSE)</f>
        <v>21</v>
      </c>
      <c r="AE15" s="90">
        <f>VLOOKUP(B15,'NonXtal_SegEnds_Prot#'!A:AL,12,FALSE)-VLOOKUP(B15,'NonXtal_SegEnds_Prot#'!A:AL,11,FALSE)</f>
        <v>1</v>
      </c>
      <c r="AF15" s="90">
        <f>VLOOKUP(B15,'NonXtal_SegEnds_Prot#'!A:AL,13,FALSE)-VLOOKUP(B15,'NonXtal_SegEnds_Prot#'!A:AL,11,FALSE)</f>
        <v>2</v>
      </c>
      <c r="AG15" s="90">
        <f>VLOOKUP(B15,'NonXtal_SegEnds_Prot#'!A:AL,16,FALSE)-VLOOKUP(B15,'NonXtal_SegEnds_Prot#'!A:AL,10,FALSE)</f>
        <v>53</v>
      </c>
      <c r="AH15" s="90">
        <f>VLOOKUP(B15,'NonXtal_SegEnds_Prot#'!A:AL,16,FALSE)-VLOOKUP(B15,'NonXtal_SegEnds_Prot#'!A:AL,11,FALSE)</f>
        <v>34</v>
      </c>
      <c r="AI15" s="90">
        <f>VLOOKUP(B15,'NonXtal_SegEnds_Prot#'!A:AL,15,FALSE)-VLOOKUP(B15,'NonXtal_SegEnds_Prot#'!A:AL,14,FALSE)</f>
        <v>1</v>
      </c>
      <c r="AJ15" s="90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75"/>
    </row>
    <row r="16" spans="1:62" s="2" customFormat="1" x14ac:dyDescent="0.25">
      <c r="A16" s="2" t="s">
        <v>1491</v>
      </c>
      <c r="B16" s="2" t="s">
        <v>532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78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90" t="str">
        <f>VLOOKUP(B16,Classification!A:D,2,FALSE)</f>
        <v>A</v>
      </c>
      <c r="AB16" s="90">
        <f>VLOOKUP(B16,'NonXtal_SegEnds_Prot#'!A:AL,6,FALSE)-VLOOKUP(B16,'NonXtal_SegEnds_Prot#'!A:AL,5,FALSE)</f>
        <v>1</v>
      </c>
      <c r="AC16" s="90">
        <f>VLOOKUP(B16,'NonXtal_SegEnds_Prot#'!A:AL,9,FALSE)-VLOOKUP(B16,'NonXtal_SegEnds_Prot#'!A:AL,8,FALSE)</f>
        <v>1</v>
      </c>
      <c r="AD16" s="90">
        <f>VLOOKUP(B16,'NonXtal_SegEnds_Prot#'!A:AL,13,FALSE)-VLOOKUP(B16,'NonXtal_SegEnds_Prot#'!A:AL,10,FALSE)</f>
        <v>20</v>
      </c>
      <c r="AE16" s="90">
        <f>VLOOKUP(B16,'NonXtal_SegEnds_Prot#'!A:AL,12,FALSE)-VLOOKUP(B16,'NonXtal_SegEnds_Prot#'!A:AL,11,FALSE)</f>
        <v>2</v>
      </c>
      <c r="AF16" s="90">
        <f>VLOOKUP(B16,'NonXtal_SegEnds_Prot#'!A:AL,13,FALSE)-VLOOKUP(B16,'NonXtal_SegEnds_Prot#'!A:AL,11,FALSE)</f>
        <v>3</v>
      </c>
      <c r="AG16" s="90">
        <f>VLOOKUP(B16,'NonXtal_SegEnds_Prot#'!A:AL,16,FALSE)-VLOOKUP(B16,'NonXtal_SegEnds_Prot#'!A:AL,10,FALSE)</f>
        <v>52</v>
      </c>
      <c r="AH16" s="90">
        <f>VLOOKUP(B16,'NonXtal_SegEnds_Prot#'!A:AL,16,FALSE)-VLOOKUP(B16,'NonXtal_SegEnds_Prot#'!A:AL,11,FALSE)</f>
        <v>35</v>
      </c>
      <c r="AI16" s="90">
        <f>VLOOKUP(B16,'NonXtal_SegEnds_Prot#'!A:AL,15,FALSE)-VLOOKUP(B16,'NonXtal_SegEnds_Prot#'!A:AL,14,FALSE)</f>
        <v>1</v>
      </c>
      <c r="AJ16" s="90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75"/>
    </row>
    <row r="17" spans="1:62" s="2" customFormat="1" x14ac:dyDescent="0.25">
      <c r="A17" s="2" t="s">
        <v>1490</v>
      </c>
      <c r="B17" s="2" t="s">
        <v>1115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78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90" t="str">
        <f>VLOOKUP(B17,Classification!A:D,2,FALSE)</f>
        <v>A</v>
      </c>
      <c r="AB17" s="90">
        <f>VLOOKUP(B17,'NonXtal_SegEnds_Prot#'!A:AL,6,FALSE)-VLOOKUP(B17,'NonXtal_SegEnds_Prot#'!A:AL,5,FALSE)</f>
        <v>1</v>
      </c>
      <c r="AC17" s="90">
        <f>VLOOKUP(B17,'NonXtal_SegEnds_Prot#'!A:AL,9,FALSE)-VLOOKUP(B17,'NonXtal_SegEnds_Prot#'!A:AL,8,FALSE)</f>
        <v>1</v>
      </c>
      <c r="AD17" s="90">
        <f>VLOOKUP(B17,'NonXtal_SegEnds_Prot#'!A:AL,13,FALSE)-VLOOKUP(B17,'NonXtal_SegEnds_Prot#'!A:AL,10,FALSE)</f>
        <v>20</v>
      </c>
      <c r="AE17" s="90">
        <f>VLOOKUP(B17,'NonXtal_SegEnds_Prot#'!A:AL,12,FALSE)-VLOOKUP(B17,'NonXtal_SegEnds_Prot#'!A:AL,11,FALSE)</f>
        <v>2</v>
      </c>
      <c r="AF17" s="90">
        <f>VLOOKUP(B17,'NonXtal_SegEnds_Prot#'!A:AL,13,FALSE)-VLOOKUP(B17,'NonXtal_SegEnds_Prot#'!A:AL,11,FALSE)</f>
        <v>3</v>
      </c>
      <c r="AG17" s="90">
        <f>VLOOKUP(B17,'NonXtal_SegEnds_Prot#'!A:AL,16,FALSE)-VLOOKUP(B17,'NonXtal_SegEnds_Prot#'!A:AL,10,FALSE)</f>
        <v>52</v>
      </c>
      <c r="AH17" s="90">
        <f>VLOOKUP(B17,'NonXtal_SegEnds_Prot#'!A:AL,16,FALSE)-VLOOKUP(B17,'NonXtal_SegEnds_Prot#'!A:AL,11,FALSE)</f>
        <v>35</v>
      </c>
      <c r="AI17" s="90">
        <f>VLOOKUP(B17,'NonXtal_SegEnds_Prot#'!A:AL,15,FALSE)-VLOOKUP(B17,'NonXtal_SegEnds_Prot#'!A:AL,14,FALSE)</f>
        <v>1</v>
      </c>
      <c r="AJ17" s="90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75"/>
    </row>
    <row r="18" spans="1:62" s="2" customFormat="1" x14ac:dyDescent="0.25">
      <c r="A18" s="2" t="s">
        <v>1477</v>
      </c>
      <c r="B18" s="2" t="s">
        <v>385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78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90" t="str">
        <f>VLOOKUP(B18,Classification!A:D,2,FALSE)</f>
        <v>A</v>
      </c>
      <c r="AB18" s="90">
        <f>VLOOKUP(B18,'NonXtal_SegEnds_Prot#'!A:AL,6,FALSE)-VLOOKUP(B18,'NonXtal_SegEnds_Prot#'!A:AL,5,FALSE)</f>
        <v>1</v>
      </c>
      <c r="AC18" s="90">
        <f>VLOOKUP(B18,'NonXtal_SegEnds_Prot#'!A:AL,9,FALSE)-VLOOKUP(B18,'NonXtal_SegEnds_Prot#'!A:AL,8,FALSE)</f>
        <v>1</v>
      </c>
      <c r="AD18" s="90">
        <f>VLOOKUP(B18,'NonXtal_SegEnds_Prot#'!A:AL,13,FALSE)-VLOOKUP(B18,'NonXtal_SegEnds_Prot#'!A:AL,10,FALSE)</f>
        <v>21</v>
      </c>
      <c r="AE18" s="90">
        <f>VLOOKUP(B18,'NonXtal_SegEnds_Prot#'!A:AL,12,FALSE)-VLOOKUP(B18,'NonXtal_SegEnds_Prot#'!A:AL,11,FALSE)</f>
        <v>3</v>
      </c>
      <c r="AF18" s="90">
        <f>VLOOKUP(B18,'NonXtal_SegEnds_Prot#'!A:AL,13,FALSE)-VLOOKUP(B18,'NonXtal_SegEnds_Prot#'!A:AL,11,FALSE)</f>
        <v>4</v>
      </c>
      <c r="AG18" s="90">
        <f>VLOOKUP(B18,'NonXtal_SegEnds_Prot#'!A:AL,16,FALSE)-VLOOKUP(B18,'NonXtal_SegEnds_Prot#'!A:AL,10,FALSE)</f>
        <v>53</v>
      </c>
      <c r="AH18" s="90">
        <f>VLOOKUP(B18,'NonXtal_SegEnds_Prot#'!A:AL,16,FALSE)-VLOOKUP(B18,'NonXtal_SegEnds_Prot#'!A:AL,11,FALSE)</f>
        <v>36</v>
      </c>
      <c r="AI18" s="90">
        <f>VLOOKUP(B18,'NonXtal_SegEnds_Prot#'!A:AL,15,FALSE)-VLOOKUP(B18,'NonXtal_SegEnds_Prot#'!A:AL,14,FALSE)</f>
        <v>1</v>
      </c>
      <c r="AJ18" s="90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75"/>
      <c r="AM18" s="2" t="s">
        <v>1503</v>
      </c>
    </row>
    <row r="19" spans="1:62" s="78" customFormat="1" x14ac:dyDescent="0.25">
      <c r="A19" s="78" t="s">
        <v>1464</v>
      </c>
      <c r="B19" s="78" t="s">
        <v>208</v>
      </c>
      <c r="C19" s="78">
        <f>IFERROR(50+VLOOKUP($A19,'Xtal_SegEnds_Prot#'!$A:$AY,5,FALSE)-VLOOKUP($B19,'NonXtal_SegEnds_Prot#'!$A:$AL,4,FALSE),"-")</f>
        <v>29</v>
      </c>
      <c r="D19" s="78">
        <f>IFERROR(50+VLOOKUP($A19,'Xtal_SegEnds_Prot#'!$A:$AY,7,FALSE)-VLOOKUP($B19,'NonXtal_SegEnds_Prot#'!$A:$AL,4,FALSE),"-")</f>
        <v>60</v>
      </c>
      <c r="E19" s="78">
        <f>IFERROR(50+VLOOKUP($A19,'Xtal_SegEnds_Prot#'!$A:$AY,9,FALSE)-VLOOKUP($B19,'NonXtal_SegEnds_Prot#'!$A:$AL,7,FALSE),"-")</f>
        <v>48</v>
      </c>
      <c r="F19" s="78">
        <f>IFERROR(50+VLOOKUP($A19,'Xtal_SegEnds_Prot#'!$A:$AY,11,FALSE)-VLOOKUP($B19,'NonXtal_SegEnds_Prot#'!$A:$AL,7,FALSE),"-")</f>
        <v>51</v>
      </c>
      <c r="G19" s="78">
        <f>IFERROR(50+VLOOKUP($A19,'Xtal_SegEnds_Prot#'!$A:$AY,13,FALSE)-VLOOKUP($B19,'NonXtal_SegEnds_Prot#'!$A:$AL,10,FALSE),"-")</f>
        <v>37</v>
      </c>
      <c r="H19" s="78">
        <f>IFERROR(50+VLOOKUP($A19,'Xtal_SegEnds_Prot#'!$A:$AY,15,FALSE)-VLOOKUP($B19,'NonXtal_SegEnds_Prot#'!$A:$AL,10,FALSE),"-")</f>
        <v>67</v>
      </c>
      <c r="I19" s="78">
        <f>IFERROR(50+VLOOKUP($A19,'Xtal_SegEnds_Prot#'!$A:$AY,17,FALSE)-VLOOKUP($B19,'NonXtal_SegEnds_Prot#'!$A:$AL,13,FALSE),"-")</f>
        <v>49</v>
      </c>
      <c r="J19" s="78">
        <f>IFERROR(50+VLOOKUP($A19,'Xtal_SegEnds_Prot#'!$A:$AY,19,FALSE)-VLOOKUP($B19,'NonXtal_SegEnds_Prot#'!$A:$AL,13,FALSE),"-")</f>
        <v>52</v>
      </c>
      <c r="K19" s="78">
        <f>IFERROR(50+VLOOKUP($A19,'Xtal_SegEnds_Prot#'!$A:$AY,21,FALSE)-VLOOKUP($B19,'NonXtal_SegEnds_Prot#'!$A:$AL,16,FALSE),"-")</f>
        <v>21</v>
      </c>
      <c r="L19" s="78">
        <f>IFERROR(50+VLOOKUP($A19,'Xtal_SegEnds_Prot#'!$A:$AY,23,FALSE)-VLOOKUP($B19,'NonXtal_SegEnds_Prot#'!$A:$AL,16,FALSE),"-")</f>
        <v>56</v>
      </c>
      <c r="M19" s="78">
        <f>IFERROR(50+VLOOKUP($A19,'Xtal_SegEnds_Prot#'!$A:$AY,25,FALSE)-VLOOKUP($B19,'NonXtal_SegEnds_Prot#'!$A:$AL,19,FALSE),"-")</f>
        <v>50</v>
      </c>
      <c r="N19" s="78">
        <f>IFERROR(50+VLOOKUP($A19,'Xtal_SegEnds_Prot#'!$A:$AY,27,FALSE)-VLOOKUP($B19,'NonXtal_SegEnds_Prot#'!$A:$AL,19,FALSE),"-")</f>
        <v>57</v>
      </c>
      <c r="O19" s="78">
        <f>IFERROR(50+VLOOKUP($A19,'Xtal_SegEnds_Prot#'!$A:$AY,29,FALSE)-VLOOKUP($B19,'NonXtal_SegEnds_Prot#'!$A:$AL,22,FALSE),"-")</f>
        <v>39</v>
      </c>
      <c r="P19" s="78">
        <f>IFERROR(50+VLOOKUP($A19,'Xtal_SegEnds_Prot#'!$A:$AY,31,FALSE)-VLOOKUP($B19,'NonXtal_SegEnds_Prot#'!$A:$AL,22,FALSE),"-")</f>
        <v>63</v>
      </c>
      <c r="Q19" s="78">
        <f>IFERROR(50+VLOOKUP($A19,'Xtal_SegEnds_Prot#'!$A:$AY,33,FALSE)-VLOOKUP($B19,'NonXtal_SegEnds_Prot#'!$A:$AL,25,FALSE),"-")</f>
        <v>50</v>
      </c>
      <c r="R19" s="78">
        <f>IFERROR(50+VLOOKUP($A19,'Xtal_SegEnds_Prot#'!$A:$AY,35,FALSE)-VLOOKUP($B19,'NonXtal_SegEnds_Prot#'!$A:$AL,25,FALSE),"-")</f>
        <v>52</v>
      </c>
      <c r="S19" s="78">
        <f>IFERROR(50+VLOOKUP($A19,'Xtal_SegEnds_Prot#'!$A:$AY,37,FALSE)-VLOOKUP($B19,'NonXtal_SegEnds_Prot#'!$A:$AL,28,FALSE),"-")</f>
        <v>35</v>
      </c>
      <c r="T19" s="78">
        <f>IFERROR(50+VLOOKUP($A19,'Xtal_SegEnds_Prot#'!$A:$AY,39,FALSE)-VLOOKUP($B19,'NonXtal_SegEnds_Prot#'!$A:$AL,28,FALSE),"-")</f>
        <v>74</v>
      </c>
      <c r="U19" s="78">
        <f>IFERROR(50+VLOOKUP($A19,'Xtal_SegEnds_Prot#'!$A:$AY,41,FALSE)-VLOOKUP($B19,'NonXtal_SegEnds_Prot#'!$A:$AL,31,FALSE),"-")</f>
        <v>24</v>
      </c>
      <c r="V19" s="78">
        <f>IFERROR(50+VLOOKUP($A19,'Xtal_SegEnds_Prot#'!$A:$AY,43,FALSE)-VLOOKUP($B19,'NonXtal_SegEnds_Prot#'!$A:$AL,31,FALSE),"-")</f>
        <v>60</v>
      </c>
      <c r="W19" s="78">
        <f>IFERROR(50+VLOOKUP($A19,'Xtal_SegEnds_Prot#'!$A:$AY,45,FALSE)-VLOOKUP($B19,'NonXtal_SegEnds_Prot#'!$A:$AL,34,FALSE),"-")</f>
        <v>31</v>
      </c>
      <c r="X19" s="78">
        <f>IFERROR(50+VLOOKUP($A19,'Xtal_SegEnds_Prot#'!$A:$AY,47,FALSE)-VLOOKUP($B19,'NonXtal_SegEnds_Prot#'!$A:$AL,34,FALSE),"-")</f>
        <v>56</v>
      </c>
      <c r="Y19" s="78">
        <f>IFERROR(50+VLOOKUP($A19,'Xtal_SegEnds_Prot#'!$A:$AY,49,FALSE)-VLOOKUP($B19,'NonXtal_SegEnds_Prot#'!$A:$AL,37,FALSE),"-")</f>
        <v>47</v>
      </c>
      <c r="Z19" s="78">
        <f>IFERROR(50+VLOOKUP($A19,'Xtal_SegEnds_Prot#'!$A:$AY,51,FALSE)-VLOOKUP($B19,'NonXtal_SegEnds_Prot#'!$A:$AL,37,FALSE),"-")</f>
        <v>58</v>
      </c>
      <c r="AA19" s="92" t="str">
        <f>VLOOKUP(B19,Classification!A:D,2,FALSE)</f>
        <v>A</v>
      </c>
      <c r="AB19" s="92">
        <f>VLOOKUP(B19,'NonXtal_SegEnds_Prot#'!A:AL,6,FALSE)-VLOOKUP(B19,'NonXtal_SegEnds_Prot#'!A:AL,5,FALSE)</f>
        <v>1</v>
      </c>
      <c r="AC19" s="92">
        <f>VLOOKUP(B19,'NonXtal_SegEnds_Prot#'!A:AL,9,FALSE)-VLOOKUP(B19,'NonXtal_SegEnds_Prot#'!A:AL,8,FALSE)</f>
        <v>1</v>
      </c>
      <c r="AD19" s="92">
        <f>VLOOKUP(B19,'NonXtal_SegEnds_Prot#'!A:AL,13,FALSE)-VLOOKUP(B19,'NonXtal_SegEnds_Prot#'!A:AL,10,FALSE)</f>
        <v>20</v>
      </c>
      <c r="AE19" s="92">
        <f>VLOOKUP(B19,'NonXtal_SegEnds_Prot#'!A:AL,12,FALSE)-VLOOKUP(B19,'NonXtal_SegEnds_Prot#'!A:AL,11,FALSE)</f>
        <v>2</v>
      </c>
      <c r="AF19" s="92">
        <f>VLOOKUP(B19,'NonXtal_SegEnds_Prot#'!A:AL,13,FALSE)-VLOOKUP(B19,'NonXtal_SegEnds_Prot#'!A:AL,11,FALSE)</f>
        <v>3</v>
      </c>
      <c r="AG19" s="92">
        <f>VLOOKUP(B19,'NonXtal_SegEnds_Prot#'!A:AL,16,FALSE)-VLOOKUP(B19,'NonXtal_SegEnds_Prot#'!A:AL,10,FALSE)</f>
        <v>52</v>
      </c>
      <c r="AH19" s="92">
        <f>VLOOKUP(B19,'NonXtal_SegEnds_Prot#'!A:AL,16,FALSE)-VLOOKUP(B19,'NonXtal_SegEnds_Prot#'!A:AL,11,FALSE)</f>
        <v>35</v>
      </c>
      <c r="AI19" s="92">
        <f>VLOOKUP(B19,'NonXtal_SegEnds_Prot#'!A:AL,15,FALSE)-VLOOKUP(B19,'NonXtal_SegEnds_Prot#'!A:AL,14,FALSE)</f>
        <v>1</v>
      </c>
      <c r="AJ19" s="92">
        <f>VLOOKUP(B19,'NonXtal_SegEnds_Prot#'!A:AL,18,FALSE)-VLOOKUP(B19,'NonXtal_SegEnds_Prot#'!A:AL,17,FALSE)</f>
        <v>1</v>
      </c>
      <c r="AK19" s="78">
        <f>VLOOKUP(B19,'NonXtal_SegEnds_Prot#'!A:AL,34,FALSE)-VLOOKUP(B19,'NonXtal_SegEnds_Prot#'!A:AL,31,FALSE)</f>
        <v>37</v>
      </c>
      <c r="AL19" s="99"/>
    </row>
    <row r="20" spans="1:62" s="2" customFormat="1" x14ac:dyDescent="0.25">
      <c r="A20" s="2" t="s">
        <v>1498</v>
      </c>
      <c r="B20" s="2" t="s">
        <v>297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78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90" t="str">
        <f>VLOOKUP(B20,Classification!A:D,2,FALSE)</f>
        <v>A</v>
      </c>
      <c r="AB20" s="90">
        <f>VLOOKUP(B20,'NonXtal_SegEnds_Prot#'!A:AL,6,FALSE)-VLOOKUP(B20,'NonXtal_SegEnds_Prot#'!A:AL,5,FALSE)</f>
        <v>1</v>
      </c>
      <c r="AC20" s="90">
        <f>VLOOKUP(B20,'NonXtal_SegEnds_Prot#'!A:AL,9,FALSE)-VLOOKUP(B20,'NonXtal_SegEnds_Prot#'!A:AL,8,FALSE)</f>
        <v>1</v>
      </c>
      <c r="AD20" s="90">
        <f>VLOOKUP(B20,'NonXtal_SegEnds_Prot#'!A:AL,13,FALSE)-VLOOKUP(B20,'NonXtal_SegEnds_Prot#'!A:AL,10,FALSE)</f>
        <v>18</v>
      </c>
      <c r="AE20" s="90">
        <f>VLOOKUP(B20,'NonXtal_SegEnds_Prot#'!A:AL,12,FALSE)-VLOOKUP(B20,'NonXtal_SegEnds_Prot#'!A:AL,11,FALSE)</f>
        <v>2</v>
      </c>
      <c r="AF20" s="90">
        <f>VLOOKUP(B20,'NonXtal_SegEnds_Prot#'!A:AL,13,FALSE)-VLOOKUP(B20,'NonXtal_SegEnds_Prot#'!A:AL,11,FALSE)</f>
        <v>5</v>
      </c>
      <c r="AG20" s="90">
        <f>VLOOKUP(B20,'NonXtal_SegEnds_Prot#'!A:AL,16,FALSE)-VLOOKUP(B20,'NonXtal_SegEnds_Prot#'!A:AL,10,FALSE)</f>
        <v>51</v>
      </c>
      <c r="AH20" s="90">
        <f>VLOOKUP(B20,'NonXtal_SegEnds_Prot#'!A:AL,16,FALSE)-VLOOKUP(B20,'NonXtal_SegEnds_Prot#'!A:AL,11,FALSE)</f>
        <v>38</v>
      </c>
      <c r="AI20" s="90">
        <f>VLOOKUP(B20,'NonXtal_SegEnds_Prot#'!A:AL,15,FALSE)-VLOOKUP(B20,'NonXtal_SegEnds_Prot#'!A:AL,14,FALSE)</f>
        <v>1</v>
      </c>
      <c r="AJ20" s="90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75"/>
    </row>
    <row r="21" spans="1:62" s="2" customFormat="1" x14ac:dyDescent="0.25">
      <c r="A21" s="2" t="s">
        <v>1466</v>
      </c>
      <c r="B21" s="2" t="s">
        <v>332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78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90" t="str">
        <f>VLOOKUP(B21,Classification!A:D,2,FALSE)</f>
        <v>A</v>
      </c>
      <c r="AB21" s="90">
        <f>VLOOKUP(B21,'NonXtal_SegEnds_Prot#'!A:AL,6,FALSE)-VLOOKUP(B21,'NonXtal_SegEnds_Prot#'!A:AL,5,FALSE)</f>
        <v>1</v>
      </c>
      <c r="AC21" s="90">
        <f>VLOOKUP(B21,'NonXtal_SegEnds_Prot#'!A:AL,9,FALSE)-VLOOKUP(B21,'NonXtal_SegEnds_Prot#'!A:AL,8,FALSE)</f>
        <v>1</v>
      </c>
      <c r="AD21" s="90">
        <f>VLOOKUP(B21,'NonXtal_SegEnds_Prot#'!A:AL,13,FALSE)-VLOOKUP(B21,'NonXtal_SegEnds_Prot#'!A:AL,10,FALSE)</f>
        <v>18</v>
      </c>
      <c r="AE21" s="90">
        <f>VLOOKUP(B21,'NonXtal_SegEnds_Prot#'!A:AL,12,FALSE)-VLOOKUP(B21,'NonXtal_SegEnds_Prot#'!A:AL,11,FALSE)</f>
        <v>1</v>
      </c>
      <c r="AF21" s="90">
        <f>VLOOKUP(B21,'NonXtal_SegEnds_Prot#'!A:AL,13,FALSE)-VLOOKUP(B21,'NonXtal_SegEnds_Prot#'!A:AL,11,FALSE)</f>
        <v>1</v>
      </c>
      <c r="AG21" s="90">
        <f>VLOOKUP(B21,'NonXtal_SegEnds_Prot#'!A:AL,16,FALSE)-VLOOKUP(B21,'NonXtal_SegEnds_Prot#'!A:AL,10,FALSE)</f>
        <v>50</v>
      </c>
      <c r="AH21" s="90">
        <f>VLOOKUP(B21,'NonXtal_SegEnds_Prot#'!A:AL,16,FALSE)-VLOOKUP(B21,'NonXtal_SegEnds_Prot#'!A:AL,11,FALSE)</f>
        <v>33</v>
      </c>
      <c r="AI21" s="90">
        <f>VLOOKUP(B21,'NonXtal_SegEnds_Prot#'!A:AL,15,FALSE)-VLOOKUP(B21,'NonXtal_SegEnds_Prot#'!A:AL,14,FALSE)</f>
        <v>1</v>
      </c>
      <c r="AJ21" s="90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75"/>
    </row>
    <row r="22" spans="1:62" s="2" customFormat="1" x14ac:dyDescent="0.25">
      <c r="A22" s="2" t="s">
        <v>1465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78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90" t="str">
        <f>VLOOKUP(B22,Classification!A:D,2,FALSE)</f>
        <v>A</v>
      </c>
      <c r="AB22" s="90">
        <f>VLOOKUP(B22,'NonXtal_SegEnds_Prot#'!A:AL,6,FALSE)-VLOOKUP(B22,'NonXtal_SegEnds_Prot#'!A:AL,5,FALSE)</f>
        <v>1</v>
      </c>
      <c r="AC22" s="90">
        <f>VLOOKUP(B22,'NonXtal_SegEnds_Prot#'!A:AL,9,FALSE)-VLOOKUP(B22,'NonXtal_SegEnds_Prot#'!A:AL,8,FALSE)</f>
        <v>1</v>
      </c>
      <c r="AD22" s="90">
        <f>VLOOKUP(B22,'NonXtal_SegEnds_Prot#'!A:AL,13,FALSE)-VLOOKUP(B22,'NonXtal_SegEnds_Prot#'!A:AL,10,FALSE)</f>
        <v>21</v>
      </c>
      <c r="AE22" s="90">
        <f>VLOOKUP(B22,'NonXtal_SegEnds_Prot#'!A:AL,12,FALSE)-VLOOKUP(B22,'NonXtal_SegEnds_Prot#'!A:AL,11,FALSE)</f>
        <v>3</v>
      </c>
      <c r="AF22" s="90">
        <f>VLOOKUP(B22,'NonXtal_SegEnds_Prot#'!A:AL,13,FALSE)-VLOOKUP(B22,'NonXtal_SegEnds_Prot#'!A:AL,11,FALSE)</f>
        <v>4</v>
      </c>
      <c r="AG22" s="90">
        <f>VLOOKUP(B22,'NonXtal_SegEnds_Prot#'!A:AL,16,FALSE)-VLOOKUP(B22,'NonXtal_SegEnds_Prot#'!A:AL,10,FALSE)</f>
        <v>53</v>
      </c>
      <c r="AH22" s="90">
        <f>VLOOKUP(B22,'NonXtal_SegEnds_Prot#'!A:AL,16,FALSE)-VLOOKUP(B22,'NonXtal_SegEnds_Prot#'!A:AL,11,FALSE)</f>
        <v>36</v>
      </c>
      <c r="AI22" s="90">
        <f>VLOOKUP(B22,'NonXtal_SegEnds_Prot#'!A:AL,15,FALSE)-VLOOKUP(B22,'NonXtal_SegEnds_Prot#'!A:AL,14,FALSE)</f>
        <v>1</v>
      </c>
      <c r="AJ22" s="90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75"/>
    </row>
    <row r="23" spans="1:62" s="2" customFormat="1" x14ac:dyDescent="0.25">
      <c r="A23" s="2" t="s">
        <v>1489</v>
      </c>
      <c r="B23" s="2" t="s">
        <v>1392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78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90" t="str">
        <f>VLOOKUP(B23,Classification!A:D,2,FALSE)</f>
        <v>A</v>
      </c>
      <c r="AB23" s="90">
        <f>VLOOKUP(B23,'NonXtal_SegEnds_Prot#'!A:AL,6,FALSE)-VLOOKUP(B23,'NonXtal_SegEnds_Prot#'!A:AL,5,FALSE)</f>
        <v>1</v>
      </c>
      <c r="AC23" s="90">
        <f>VLOOKUP(B23,'NonXtal_SegEnds_Prot#'!A:AL,9,FALSE)-VLOOKUP(B23,'NonXtal_SegEnds_Prot#'!A:AL,8,FALSE)</f>
        <v>1</v>
      </c>
      <c r="AD23" s="90">
        <f>VLOOKUP(B23,'NonXtal_SegEnds_Prot#'!A:AL,13,FALSE)-VLOOKUP(B23,'NonXtal_SegEnds_Prot#'!A:AL,10,FALSE)</f>
        <v>19</v>
      </c>
      <c r="AE23" s="90">
        <f>VLOOKUP(B23,'NonXtal_SegEnds_Prot#'!A:AL,12,FALSE)-VLOOKUP(B23,'NonXtal_SegEnds_Prot#'!A:AL,11,FALSE)</f>
        <v>2</v>
      </c>
      <c r="AF23" s="90">
        <f>VLOOKUP(B23,'NonXtal_SegEnds_Prot#'!A:AL,13,FALSE)-VLOOKUP(B23,'NonXtal_SegEnds_Prot#'!A:AL,11,FALSE)</f>
        <v>3</v>
      </c>
      <c r="AG23" s="90">
        <f>VLOOKUP(B23,'NonXtal_SegEnds_Prot#'!A:AL,16,FALSE)-VLOOKUP(B23,'NonXtal_SegEnds_Prot#'!A:AL,10,FALSE)</f>
        <v>51</v>
      </c>
      <c r="AH23" s="90">
        <f>VLOOKUP(B23,'NonXtal_SegEnds_Prot#'!A:AL,16,FALSE)-VLOOKUP(B23,'NonXtal_SegEnds_Prot#'!A:AL,11,FALSE)</f>
        <v>35</v>
      </c>
      <c r="AI23" s="90">
        <f>VLOOKUP(B23,'NonXtal_SegEnds_Prot#'!A:AL,15,FALSE)-VLOOKUP(B23,'NonXtal_SegEnds_Prot#'!A:AL,14,FALSE)</f>
        <v>1</v>
      </c>
      <c r="AJ23" s="90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75"/>
    </row>
    <row r="24" spans="1:62" s="2" customFormat="1" x14ac:dyDescent="0.25">
      <c r="A24" s="2" t="s">
        <v>1488</v>
      </c>
      <c r="B24" s="2" t="s">
        <v>1113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78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90" t="str">
        <f>VLOOKUP(B24,Classification!A:D,2,FALSE)</f>
        <v>A</v>
      </c>
      <c r="AB24" s="90">
        <f>VLOOKUP(B24,'NonXtal_SegEnds_Prot#'!A:AL,6,FALSE)-VLOOKUP(B24,'NonXtal_SegEnds_Prot#'!A:AL,5,FALSE)</f>
        <v>1</v>
      </c>
      <c r="AC24" s="90">
        <f>VLOOKUP(B24,'NonXtal_SegEnds_Prot#'!A:AL,9,FALSE)-VLOOKUP(B24,'NonXtal_SegEnds_Prot#'!A:AL,8,FALSE)</f>
        <v>1</v>
      </c>
      <c r="AD24" s="90">
        <f>VLOOKUP(B24,'NonXtal_SegEnds_Prot#'!A:AL,13,FALSE)-VLOOKUP(B24,'NonXtal_SegEnds_Prot#'!A:AL,10,FALSE)</f>
        <v>19</v>
      </c>
      <c r="AE24" s="90">
        <f>VLOOKUP(B24,'NonXtal_SegEnds_Prot#'!A:AL,12,FALSE)-VLOOKUP(B24,'NonXtal_SegEnds_Prot#'!A:AL,11,FALSE)</f>
        <v>2</v>
      </c>
      <c r="AF24" s="90">
        <f>VLOOKUP(B24,'NonXtal_SegEnds_Prot#'!A:AL,13,FALSE)-VLOOKUP(B24,'NonXtal_SegEnds_Prot#'!A:AL,11,FALSE)</f>
        <v>3</v>
      </c>
      <c r="AG24" s="90">
        <f>VLOOKUP(B24,'NonXtal_SegEnds_Prot#'!A:AL,16,FALSE)-VLOOKUP(B24,'NonXtal_SegEnds_Prot#'!A:AL,10,FALSE)</f>
        <v>51</v>
      </c>
      <c r="AH24" s="90">
        <f>VLOOKUP(B24,'NonXtal_SegEnds_Prot#'!A:AL,16,FALSE)-VLOOKUP(B24,'NonXtal_SegEnds_Prot#'!A:AL,11,FALSE)</f>
        <v>35</v>
      </c>
      <c r="AI24" s="90">
        <f>VLOOKUP(B24,'NonXtal_SegEnds_Prot#'!A:AL,15,FALSE)-VLOOKUP(B24,'NonXtal_SegEnds_Prot#'!A:AL,14,FALSE)</f>
        <v>1</v>
      </c>
      <c r="AJ24" s="90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75"/>
    </row>
    <row r="25" spans="1:62" s="2" customFormat="1" x14ac:dyDescent="0.25">
      <c r="A25" s="2" t="s">
        <v>1487</v>
      </c>
      <c r="B25" s="2" t="s">
        <v>529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78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90" t="str">
        <f>VLOOKUP(B25,Classification!A:D,2,FALSE)</f>
        <v>A</v>
      </c>
      <c r="AB25" s="90">
        <f>VLOOKUP(B25,'NonXtal_SegEnds_Prot#'!A:AL,6,FALSE)-VLOOKUP(B25,'NonXtal_SegEnds_Prot#'!A:AL,5,FALSE)</f>
        <v>1</v>
      </c>
      <c r="AC25" s="90">
        <f>VLOOKUP(B25,'NonXtal_SegEnds_Prot#'!A:AL,9,FALSE)-VLOOKUP(B25,'NonXtal_SegEnds_Prot#'!A:AL,8,FALSE)</f>
        <v>1</v>
      </c>
      <c r="AD25" s="90">
        <f>VLOOKUP(B25,'NonXtal_SegEnds_Prot#'!A:AL,13,FALSE)-VLOOKUP(B25,'NonXtal_SegEnds_Prot#'!A:AL,10,FALSE)</f>
        <v>19</v>
      </c>
      <c r="AE25" s="90">
        <f>VLOOKUP(B25,'NonXtal_SegEnds_Prot#'!A:AL,12,FALSE)-VLOOKUP(B25,'NonXtal_SegEnds_Prot#'!A:AL,11,FALSE)</f>
        <v>2</v>
      </c>
      <c r="AF25" s="90">
        <f>VLOOKUP(B25,'NonXtal_SegEnds_Prot#'!A:AL,13,FALSE)-VLOOKUP(B25,'NonXtal_SegEnds_Prot#'!A:AL,11,FALSE)</f>
        <v>3</v>
      </c>
      <c r="AG25" s="90">
        <f>VLOOKUP(B25,'NonXtal_SegEnds_Prot#'!A:AL,16,FALSE)-VLOOKUP(B25,'NonXtal_SegEnds_Prot#'!A:AL,10,FALSE)</f>
        <v>51</v>
      </c>
      <c r="AH25" s="90">
        <f>VLOOKUP(B25,'NonXtal_SegEnds_Prot#'!A:AL,16,FALSE)-VLOOKUP(B25,'NonXtal_SegEnds_Prot#'!A:AL,11,FALSE)</f>
        <v>35</v>
      </c>
      <c r="AI25" s="90">
        <f>VLOOKUP(B25,'NonXtal_SegEnds_Prot#'!A:AL,15,FALSE)-VLOOKUP(B25,'NonXtal_SegEnds_Prot#'!A:AL,14,FALSE)</f>
        <v>1</v>
      </c>
      <c r="AJ25" s="90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75"/>
    </row>
    <row r="26" spans="1:62" s="2" customFormat="1" x14ac:dyDescent="0.25">
      <c r="A26" s="2" t="s">
        <v>1485</v>
      </c>
      <c r="B26" s="2" t="s">
        <v>528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78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90" t="str">
        <f>VLOOKUP(B26,Classification!A:D,2,FALSE)</f>
        <v>A</v>
      </c>
      <c r="AB26" s="90">
        <f>VLOOKUP(B26,'NonXtal_SegEnds_Prot#'!A:AL,6,FALSE)-VLOOKUP(B26,'NonXtal_SegEnds_Prot#'!A:AL,5,FALSE)</f>
        <v>1</v>
      </c>
      <c r="AC26" s="90">
        <f>VLOOKUP(B26,'NonXtal_SegEnds_Prot#'!A:AL,9,FALSE)-VLOOKUP(B26,'NonXtal_SegEnds_Prot#'!A:AL,8,FALSE)</f>
        <v>1</v>
      </c>
      <c r="AD26" s="90">
        <f>VLOOKUP(B26,'NonXtal_SegEnds_Prot#'!A:AL,13,FALSE)-VLOOKUP(B26,'NonXtal_SegEnds_Prot#'!A:AL,10,FALSE)</f>
        <v>19</v>
      </c>
      <c r="AE26" s="90">
        <f>VLOOKUP(B26,'NonXtal_SegEnds_Prot#'!A:AL,12,FALSE)-VLOOKUP(B26,'NonXtal_SegEnds_Prot#'!A:AL,11,FALSE)</f>
        <v>2</v>
      </c>
      <c r="AF26" s="90">
        <f>VLOOKUP(B26,'NonXtal_SegEnds_Prot#'!A:AL,13,FALSE)-VLOOKUP(B26,'NonXtal_SegEnds_Prot#'!A:AL,11,FALSE)</f>
        <v>3</v>
      </c>
      <c r="AG26" s="90">
        <f>VLOOKUP(B26,'NonXtal_SegEnds_Prot#'!A:AL,16,FALSE)-VLOOKUP(B26,'NonXtal_SegEnds_Prot#'!A:AL,10,FALSE)</f>
        <v>51</v>
      </c>
      <c r="AH26" s="90">
        <f>VLOOKUP(B26,'NonXtal_SegEnds_Prot#'!A:AL,16,FALSE)-VLOOKUP(B26,'NonXtal_SegEnds_Prot#'!A:AL,11,FALSE)</f>
        <v>35</v>
      </c>
      <c r="AI26" s="90">
        <f>VLOOKUP(B26,'NonXtal_SegEnds_Prot#'!A:AL,15,FALSE)-VLOOKUP(B26,'NonXtal_SegEnds_Prot#'!A:AL,14,FALSE)</f>
        <v>1</v>
      </c>
      <c r="AJ26" s="90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75"/>
    </row>
    <row r="27" spans="1:62" s="2" customFormat="1" x14ac:dyDescent="0.25">
      <c r="A27" s="2" t="s">
        <v>1486</v>
      </c>
      <c r="B27" s="2" t="s">
        <v>1111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78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90" t="str">
        <f>VLOOKUP(B27,Classification!A:D,2,FALSE)</f>
        <v>A</v>
      </c>
      <c r="AB27" s="90">
        <f>VLOOKUP(B27,'NonXtal_SegEnds_Prot#'!A:AL,6,FALSE)-VLOOKUP(B27,'NonXtal_SegEnds_Prot#'!A:AL,5,FALSE)</f>
        <v>1</v>
      </c>
      <c r="AC27" s="90">
        <f>VLOOKUP(B27,'NonXtal_SegEnds_Prot#'!A:AL,9,FALSE)-VLOOKUP(B27,'NonXtal_SegEnds_Prot#'!A:AL,8,FALSE)</f>
        <v>1</v>
      </c>
      <c r="AD27" s="90">
        <f>VLOOKUP(B27,'NonXtal_SegEnds_Prot#'!A:AL,13,FALSE)-VLOOKUP(B27,'NonXtal_SegEnds_Prot#'!A:AL,10,FALSE)</f>
        <v>19</v>
      </c>
      <c r="AE27" s="90">
        <f>VLOOKUP(B27,'NonXtal_SegEnds_Prot#'!A:AL,12,FALSE)-VLOOKUP(B27,'NonXtal_SegEnds_Prot#'!A:AL,11,FALSE)</f>
        <v>2</v>
      </c>
      <c r="AF27" s="90">
        <f>VLOOKUP(B27,'NonXtal_SegEnds_Prot#'!A:AL,13,FALSE)-VLOOKUP(B27,'NonXtal_SegEnds_Prot#'!A:AL,11,FALSE)</f>
        <v>3</v>
      </c>
      <c r="AG27" s="90">
        <f>VLOOKUP(B27,'NonXtal_SegEnds_Prot#'!A:AL,16,FALSE)-VLOOKUP(B27,'NonXtal_SegEnds_Prot#'!A:AL,10,FALSE)</f>
        <v>51</v>
      </c>
      <c r="AH27" s="90">
        <f>VLOOKUP(B27,'NonXtal_SegEnds_Prot#'!A:AL,16,FALSE)-VLOOKUP(B27,'NonXtal_SegEnds_Prot#'!A:AL,11,FALSE)</f>
        <v>35</v>
      </c>
      <c r="AI27" s="90">
        <f>VLOOKUP(B27,'NonXtal_SegEnds_Prot#'!A:AL,15,FALSE)-VLOOKUP(B27,'NonXtal_SegEnds_Prot#'!A:AL,14,FALSE)</f>
        <v>1</v>
      </c>
      <c r="AJ27" s="90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75"/>
    </row>
    <row r="28" spans="1:62" s="2" customFormat="1" x14ac:dyDescent="0.25">
      <c r="A28" s="2" t="s">
        <v>1497</v>
      </c>
      <c r="B28" s="2" t="s">
        <v>548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78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90" t="str">
        <f>VLOOKUP(B28,Classification!A:D,2,FALSE)</f>
        <v>A</v>
      </c>
      <c r="AB28" s="90">
        <f>VLOOKUP(B28,'NonXtal_SegEnds_Prot#'!A:AL,6,FALSE)-VLOOKUP(B28,'NonXtal_SegEnds_Prot#'!A:AL,5,FALSE)</f>
        <v>1</v>
      </c>
      <c r="AC28" s="90">
        <f>VLOOKUP(B28,'NonXtal_SegEnds_Prot#'!A:AL,9,FALSE)-VLOOKUP(B28,'NonXtal_SegEnds_Prot#'!A:AL,8,FALSE)</f>
        <v>1</v>
      </c>
      <c r="AD28" s="90">
        <f>VLOOKUP(B28,'NonXtal_SegEnds_Prot#'!A:AL,13,FALSE)-VLOOKUP(B28,'NonXtal_SegEnds_Prot#'!A:AL,10,FALSE)</f>
        <v>20</v>
      </c>
      <c r="AE28" s="90">
        <f>VLOOKUP(B28,'NonXtal_SegEnds_Prot#'!A:AL,12,FALSE)-VLOOKUP(B28,'NonXtal_SegEnds_Prot#'!A:AL,11,FALSE)</f>
        <v>3</v>
      </c>
      <c r="AF28" s="90">
        <f>VLOOKUP(B28,'NonXtal_SegEnds_Prot#'!A:AL,13,FALSE)-VLOOKUP(B28,'NonXtal_SegEnds_Prot#'!A:AL,11,FALSE)</f>
        <v>4</v>
      </c>
      <c r="AG28" s="90">
        <f>VLOOKUP(B28,'NonXtal_SegEnds_Prot#'!A:AL,16,FALSE)-VLOOKUP(B28,'NonXtal_SegEnds_Prot#'!A:AL,10,FALSE)</f>
        <v>52</v>
      </c>
      <c r="AH28" s="90">
        <f>VLOOKUP(B28,'NonXtal_SegEnds_Prot#'!A:AL,16,FALSE)-VLOOKUP(B28,'NonXtal_SegEnds_Prot#'!A:AL,11,FALSE)</f>
        <v>36</v>
      </c>
      <c r="AI28" s="90">
        <f>VLOOKUP(B28,'NonXtal_SegEnds_Prot#'!A:AL,15,FALSE)-VLOOKUP(B28,'NonXtal_SegEnds_Prot#'!A:AL,14,FALSE)</f>
        <v>1</v>
      </c>
      <c r="AJ28" s="90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75"/>
    </row>
    <row r="29" spans="1:62" s="2" customFormat="1" x14ac:dyDescent="0.25">
      <c r="A29" s="2" t="s">
        <v>1494</v>
      </c>
      <c r="B29" s="2" t="s">
        <v>1394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78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90" t="str">
        <f>VLOOKUP(B29,Classification!A:D,2,FALSE)</f>
        <v>A</v>
      </c>
      <c r="AB29" s="90">
        <f>VLOOKUP(B29,'NonXtal_SegEnds_Prot#'!A:AL,6,FALSE)-VLOOKUP(B29,'NonXtal_SegEnds_Prot#'!A:AL,5,FALSE)</f>
        <v>1</v>
      </c>
      <c r="AC29" s="90">
        <f>VLOOKUP(B29,'NonXtal_SegEnds_Prot#'!A:AL,9,FALSE)-VLOOKUP(B29,'NonXtal_SegEnds_Prot#'!A:AL,8,FALSE)</f>
        <v>1</v>
      </c>
      <c r="AD29" s="90">
        <f>VLOOKUP(B29,'NonXtal_SegEnds_Prot#'!A:AL,13,FALSE)-VLOOKUP(B29,'NonXtal_SegEnds_Prot#'!A:AL,10,FALSE)</f>
        <v>20</v>
      </c>
      <c r="AE29" s="90">
        <f>VLOOKUP(B29,'NonXtal_SegEnds_Prot#'!A:AL,12,FALSE)-VLOOKUP(B29,'NonXtal_SegEnds_Prot#'!A:AL,11,FALSE)</f>
        <v>2</v>
      </c>
      <c r="AF29" s="90">
        <f>VLOOKUP(B29,'NonXtal_SegEnds_Prot#'!A:AL,13,FALSE)-VLOOKUP(B29,'NonXtal_SegEnds_Prot#'!A:AL,11,FALSE)</f>
        <v>3</v>
      </c>
      <c r="AG29" s="90">
        <f>VLOOKUP(B29,'NonXtal_SegEnds_Prot#'!A:AL,16,FALSE)-VLOOKUP(B29,'NonXtal_SegEnds_Prot#'!A:AL,10,FALSE)</f>
        <v>52</v>
      </c>
      <c r="AH29" s="90">
        <f>VLOOKUP(B29,'NonXtal_SegEnds_Prot#'!A:AL,16,FALSE)-VLOOKUP(B29,'NonXtal_SegEnds_Prot#'!A:AL,11,FALSE)</f>
        <v>35</v>
      </c>
      <c r="AI29" s="90">
        <f>VLOOKUP(B29,'NonXtal_SegEnds_Prot#'!A:AL,15,FALSE)-VLOOKUP(B29,'NonXtal_SegEnds_Prot#'!A:AL,14,FALSE)</f>
        <v>1</v>
      </c>
      <c r="AJ29" s="90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75"/>
    </row>
    <row r="30" spans="1:62" s="2" customFormat="1" x14ac:dyDescent="0.25">
      <c r="A30" s="2" t="s">
        <v>1493</v>
      </c>
      <c r="B30" s="2" t="s">
        <v>1393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78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90" t="str">
        <f>VLOOKUP(B30,Classification!A:D,2,FALSE)</f>
        <v>A</v>
      </c>
      <c r="AB30" s="90">
        <f>VLOOKUP(B30,'NonXtal_SegEnds_Prot#'!A:AL,6,FALSE)-VLOOKUP(B30,'NonXtal_SegEnds_Prot#'!A:AL,5,FALSE)</f>
        <v>1</v>
      </c>
      <c r="AC30" s="90">
        <f>VLOOKUP(B30,'NonXtal_SegEnds_Prot#'!A:AL,9,FALSE)-VLOOKUP(B30,'NonXtal_SegEnds_Prot#'!A:AL,8,FALSE)</f>
        <v>1</v>
      </c>
      <c r="AD30" s="90">
        <f>VLOOKUP(B30,'NonXtal_SegEnds_Prot#'!A:AL,13,FALSE)-VLOOKUP(B30,'NonXtal_SegEnds_Prot#'!A:AL,10,FALSE)</f>
        <v>20</v>
      </c>
      <c r="AE30" s="90">
        <f>VLOOKUP(B30,'NonXtal_SegEnds_Prot#'!A:AL,12,FALSE)-VLOOKUP(B30,'NonXtal_SegEnds_Prot#'!A:AL,11,FALSE)</f>
        <v>2</v>
      </c>
      <c r="AF30" s="90">
        <f>VLOOKUP(B30,'NonXtal_SegEnds_Prot#'!A:AL,13,FALSE)-VLOOKUP(B30,'NonXtal_SegEnds_Prot#'!A:AL,11,FALSE)</f>
        <v>3</v>
      </c>
      <c r="AG30" s="90">
        <f>VLOOKUP(B30,'NonXtal_SegEnds_Prot#'!A:AL,16,FALSE)-VLOOKUP(B30,'NonXtal_SegEnds_Prot#'!A:AL,10,FALSE)</f>
        <v>52</v>
      </c>
      <c r="AH30" s="90">
        <f>VLOOKUP(B30,'NonXtal_SegEnds_Prot#'!A:AL,16,FALSE)-VLOOKUP(B30,'NonXtal_SegEnds_Prot#'!A:AL,11,FALSE)</f>
        <v>35</v>
      </c>
      <c r="AI30" s="90">
        <f>VLOOKUP(B30,'NonXtal_SegEnds_Prot#'!A:AL,15,FALSE)-VLOOKUP(B30,'NonXtal_SegEnds_Prot#'!A:AL,14,FALSE)</f>
        <v>1</v>
      </c>
      <c r="AJ30" s="90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75"/>
    </row>
    <row r="31" spans="1:62" s="2" customFormat="1" x14ac:dyDescent="0.25">
      <c r="A31" s="2" t="s">
        <v>1484</v>
      </c>
      <c r="B31" s="2" t="s">
        <v>1109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78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90" t="str">
        <f>VLOOKUP(B31,Classification!A:D,2,FALSE)</f>
        <v>A</v>
      </c>
      <c r="AB31" s="90">
        <f>VLOOKUP(B31,'NonXtal_SegEnds_Prot#'!A:AL,6,FALSE)-VLOOKUP(B31,'NonXtal_SegEnds_Prot#'!A:AL,5,FALSE)</f>
        <v>1</v>
      </c>
      <c r="AC31" s="90">
        <f>VLOOKUP(B31,'NonXtal_SegEnds_Prot#'!A:AL,9,FALSE)-VLOOKUP(B31,'NonXtal_SegEnds_Prot#'!A:AL,8,FALSE)</f>
        <v>1</v>
      </c>
      <c r="AD31" s="90">
        <f>VLOOKUP(B31,'NonXtal_SegEnds_Prot#'!A:AL,13,FALSE)-VLOOKUP(B31,'NonXtal_SegEnds_Prot#'!A:AL,10,FALSE)</f>
        <v>22</v>
      </c>
      <c r="AE31" s="90">
        <f>VLOOKUP(B31,'NonXtal_SegEnds_Prot#'!A:AL,12,FALSE)-VLOOKUP(B31,'NonXtal_SegEnds_Prot#'!A:AL,11,FALSE)</f>
        <v>3</v>
      </c>
      <c r="AF31" s="90">
        <f>VLOOKUP(B31,'NonXtal_SegEnds_Prot#'!A:AL,13,FALSE)-VLOOKUP(B31,'NonXtal_SegEnds_Prot#'!A:AL,11,FALSE)</f>
        <v>4</v>
      </c>
      <c r="AG31" s="90">
        <f>VLOOKUP(B31,'NonXtal_SegEnds_Prot#'!A:AL,16,FALSE)-VLOOKUP(B31,'NonXtal_SegEnds_Prot#'!A:AL,10,FALSE)</f>
        <v>54</v>
      </c>
      <c r="AH31" s="90">
        <f>VLOOKUP(B31,'NonXtal_SegEnds_Prot#'!A:AL,16,FALSE)-VLOOKUP(B31,'NonXtal_SegEnds_Prot#'!A:AL,11,FALSE)</f>
        <v>36</v>
      </c>
      <c r="AI31" s="90">
        <f>VLOOKUP(B31,'NonXtal_SegEnds_Prot#'!A:AL,15,FALSE)-VLOOKUP(B31,'NonXtal_SegEnds_Prot#'!A:AL,14,FALSE)</f>
        <v>1</v>
      </c>
      <c r="AJ31" s="90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75"/>
    </row>
    <row r="32" spans="1:62" s="2" customFormat="1" x14ac:dyDescent="0.25">
      <c r="A32" s="2" t="s">
        <v>1496</v>
      </c>
      <c r="B32" s="2" t="s">
        <v>545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78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90" t="str">
        <f>VLOOKUP(B32,Classification!A:D,2,FALSE)</f>
        <v>A</v>
      </c>
      <c r="AB32" s="90" t="e">
        <f>VLOOKUP(B32,'NonXtal_SegEnds_Prot#'!A:AL,6,FALSE)-VLOOKUP(B32,'NonXtal_SegEnds_Prot#'!A:AL,5,FALSE)</f>
        <v>#VALUE!</v>
      </c>
      <c r="AC32" s="90" t="e">
        <f>VLOOKUP(B32,'NonXtal_SegEnds_Prot#'!A:AL,9,FALSE)-VLOOKUP(B32,'NonXtal_SegEnds_Prot#'!A:AL,8,FALSE)</f>
        <v>#VALUE!</v>
      </c>
      <c r="AD32" s="90" t="e">
        <f>VLOOKUP(B32,'NonXtal_SegEnds_Prot#'!A:AL,13,FALSE)-VLOOKUP(B32,'NonXtal_SegEnds_Prot#'!A:AL,10,FALSE)</f>
        <v>#VALUE!</v>
      </c>
      <c r="AE32" s="90" t="e">
        <f>VLOOKUP(B32,'NonXtal_SegEnds_Prot#'!A:AL,12,FALSE)-VLOOKUP(B32,'NonXtal_SegEnds_Prot#'!A:AL,11,FALSE)</f>
        <v>#VALUE!</v>
      </c>
      <c r="AF32" s="90" t="e">
        <f>VLOOKUP(B32,'NonXtal_SegEnds_Prot#'!A:AL,13,FALSE)-VLOOKUP(B32,'NonXtal_SegEnds_Prot#'!A:AL,11,FALSE)</f>
        <v>#VALUE!</v>
      </c>
      <c r="AG32" s="90">
        <f>VLOOKUP(B32,'NonXtal_SegEnds_Prot#'!A:AL,16,FALSE)-VLOOKUP(B32,'NonXtal_SegEnds_Prot#'!A:AL,10,FALSE)</f>
        <v>52</v>
      </c>
      <c r="AH32" s="90">
        <f>VLOOKUP(B32,'NonXtal_SegEnds_Prot#'!A:AL,16,FALSE)-VLOOKUP(B32,'NonXtal_SegEnds_Prot#'!A:AL,11,FALSE)</f>
        <v>36</v>
      </c>
      <c r="AI32" s="90" t="e">
        <f>VLOOKUP(B32,'NonXtal_SegEnds_Prot#'!A:AL,15,FALSE)-VLOOKUP(B32,'NonXtal_SegEnds_Prot#'!A:AL,14,FALSE)</f>
        <v>#VALUE!</v>
      </c>
      <c r="AJ32" s="90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75"/>
      <c r="BJ32" s="90"/>
    </row>
    <row r="33" spans="1:62" s="2" customFormat="1" x14ac:dyDescent="0.25">
      <c r="A33" s="2" t="s">
        <v>1474</v>
      </c>
      <c r="B33" s="2" t="s">
        <v>366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78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90" t="str">
        <f>VLOOKUP(B33,Classification!A:D,2,FALSE)</f>
        <v>A</v>
      </c>
      <c r="AB33" s="90">
        <f>VLOOKUP(B33,'NonXtal_SegEnds_Prot#'!A:AL,6,FALSE)-VLOOKUP(B33,'NonXtal_SegEnds_Prot#'!A:AL,5,FALSE)</f>
        <v>1</v>
      </c>
      <c r="AC33" s="90">
        <f>VLOOKUP(B33,'NonXtal_SegEnds_Prot#'!A:AL,9,FALSE)-VLOOKUP(B33,'NonXtal_SegEnds_Prot#'!A:AL,8,FALSE)</f>
        <v>1</v>
      </c>
      <c r="AD33" s="90">
        <f>VLOOKUP(B33,'NonXtal_SegEnds_Prot#'!A:AL,13,FALSE)-VLOOKUP(B33,'NonXtal_SegEnds_Prot#'!A:AL,10,FALSE)</f>
        <v>18</v>
      </c>
      <c r="AE33" s="90">
        <f>VLOOKUP(B33,'NonXtal_SegEnds_Prot#'!A:AL,12,FALSE)-VLOOKUP(B33,'NonXtal_SegEnds_Prot#'!A:AL,11,FALSE)</f>
        <v>1</v>
      </c>
      <c r="AF33" s="90">
        <f>VLOOKUP(B33,'NonXtal_SegEnds_Prot#'!A:AL,13,FALSE)-VLOOKUP(B33,'NonXtal_SegEnds_Prot#'!A:AL,11,FALSE)</f>
        <v>2</v>
      </c>
      <c r="AG33" s="90">
        <f>VLOOKUP(B33,'NonXtal_SegEnds_Prot#'!A:AL,16,FALSE)-VLOOKUP(B33,'NonXtal_SegEnds_Prot#'!A:AL,10,FALSE)</f>
        <v>50</v>
      </c>
      <c r="AH33" s="90">
        <f>VLOOKUP(B33,'NonXtal_SegEnds_Prot#'!A:AL,15,FALSE)-VLOOKUP(B33,'NonXtal_SegEnds_Prot#'!A:AL,11,FALSE)</f>
        <v>5</v>
      </c>
      <c r="AI33" s="90">
        <f>VLOOKUP(B33,'NonXtal_SegEnds_Prot#'!A:AL,15,FALSE)-VLOOKUP(B33,'NonXtal_SegEnds_Prot#'!A:AL,14,FALSE)</f>
        <v>1</v>
      </c>
      <c r="AJ33" s="90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75"/>
    </row>
    <row r="34" spans="1:62" s="2" customFormat="1" x14ac:dyDescent="0.25">
      <c r="A34" s="2" t="s">
        <v>1473</v>
      </c>
      <c r="B34" s="2" t="s">
        <v>351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78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90" t="str">
        <f>VLOOKUP(B34,Classification!A:D,2,FALSE)</f>
        <v>A</v>
      </c>
      <c r="AB34" s="90">
        <f>VLOOKUP(B34,'NonXtal_SegEnds_Prot#'!A:AL,6,FALSE)-VLOOKUP(B34,'NonXtal_SegEnds_Prot#'!A:AL,5,FALSE)</f>
        <v>1</v>
      </c>
      <c r="AC34" s="90">
        <f>VLOOKUP(B34,'NonXtal_SegEnds_Prot#'!A:AL,9,FALSE)-VLOOKUP(B34,'NonXtal_SegEnds_Prot#'!A:AL,8,FALSE)</f>
        <v>1</v>
      </c>
      <c r="AD34" s="90">
        <f>VLOOKUP(B34,'NonXtal_SegEnds_Prot#'!A:AL,13,FALSE)-VLOOKUP(B34,'NonXtal_SegEnds_Prot#'!A:AL,10,FALSE)</f>
        <v>20</v>
      </c>
      <c r="AE34" s="90">
        <f>VLOOKUP(B34,'NonXtal_SegEnds_Prot#'!A:AL,12,FALSE)-VLOOKUP(B34,'NonXtal_SegEnds_Prot#'!A:AL,11,FALSE)</f>
        <v>3</v>
      </c>
      <c r="AF34" s="90">
        <f>VLOOKUP(B34,'NonXtal_SegEnds_Prot#'!A:AL,13,FALSE)-VLOOKUP(B34,'NonXtal_SegEnds_Prot#'!A:AL,11,FALSE)</f>
        <v>4</v>
      </c>
      <c r="AG34" s="90">
        <f>VLOOKUP(B34,'NonXtal_SegEnds_Prot#'!A:AL,16,FALSE)-VLOOKUP(B34,'NonXtal_SegEnds_Prot#'!A:AL,10,FALSE)</f>
        <v>52</v>
      </c>
      <c r="AH34" s="90">
        <f>VLOOKUP(B34,'NonXtal_SegEnds_Prot#'!A:AL,16,FALSE)-VLOOKUP(B34,'NonXtal_SegEnds_Prot#'!A:AL,11,FALSE)</f>
        <v>36</v>
      </c>
      <c r="AI34" s="90">
        <f>VLOOKUP(B34,'NonXtal_SegEnds_Prot#'!A:AL,15,FALSE)-VLOOKUP(B34,'NonXtal_SegEnds_Prot#'!A:AL,14,FALSE)</f>
        <v>1</v>
      </c>
      <c r="AJ34" s="90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75"/>
    </row>
    <row r="35" spans="1:62" s="2" customFormat="1" x14ac:dyDescent="0.25">
      <c r="A35" s="2" t="s">
        <v>1476</v>
      </c>
      <c r="B35" s="2" t="s">
        <v>1390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78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90" t="str">
        <f>VLOOKUP(B35,Classification!A:D,2,FALSE)</f>
        <v>A</v>
      </c>
      <c r="AB35" s="90">
        <f>VLOOKUP(B35,'NonXtal_SegEnds_Prot#'!A:AL,6,FALSE)-VLOOKUP(B35,'NonXtal_SegEnds_Prot#'!A:AL,5,FALSE)</f>
        <v>1</v>
      </c>
      <c r="AC35" s="90">
        <f>VLOOKUP(B35,'NonXtal_SegEnds_Prot#'!A:AL,9,FALSE)-VLOOKUP(B35,'NonXtal_SegEnds_Prot#'!A:AL,8,FALSE)</f>
        <v>1</v>
      </c>
      <c r="AD35" s="90">
        <f>VLOOKUP(B35,'NonXtal_SegEnds_Prot#'!A:AL,13,FALSE)-VLOOKUP(B35,'NonXtal_SegEnds_Prot#'!A:AL,10,FALSE)</f>
        <v>18</v>
      </c>
      <c r="AE35" s="90">
        <f>VLOOKUP(B35,'NonXtal_SegEnds_Prot#'!A:AL,12,FALSE)-VLOOKUP(B35,'NonXtal_SegEnds_Prot#'!A:AL,11,FALSE)</f>
        <v>1</v>
      </c>
      <c r="AF35" s="90">
        <f>VLOOKUP(B35,'NonXtal_SegEnds_Prot#'!A:AL,13,FALSE)-VLOOKUP(B35,'NonXtal_SegEnds_Prot#'!A:AL,11,FALSE)</f>
        <v>2</v>
      </c>
      <c r="AG35" s="90">
        <f>VLOOKUP(B35,'NonXtal_SegEnds_Prot#'!A:AL,16,FALSE)-VLOOKUP(B35,'NonXtal_SegEnds_Prot#'!A:AL,10,FALSE)</f>
        <v>50</v>
      </c>
      <c r="AH35" s="90">
        <f>VLOOKUP(B35,'NonXtal_SegEnds_Prot#'!A:AL,16,FALSE)-VLOOKUP(B35,'NonXtal_SegEnds_Prot#'!A:AL,11,FALSE)</f>
        <v>34</v>
      </c>
      <c r="AI35" s="90">
        <f>VLOOKUP(B35,'NonXtal_SegEnds_Prot#'!A:AL,15,FALSE)-VLOOKUP(B35,'NonXtal_SegEnds_Prot#'!A:AL,14,FALSE)</f>
        <v>1</v>
      </c>
      <c r="AJ35" s="90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75"/>
    </row>
    <row r="36" spans="1:62" s="2" customFormat="1" x14ac:dyDescent="0.25">
      <c r="A36" s="2" t="s">
        <v>1561</v>
      </c>
      <c r="B36" s="2" t="s">
        <v>389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78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90" t="str">
        <f>VLOOKUP(B36,Classification!A:D,2,FALSE)</f>
        <v>A</v>
      </c>
      <c r="AB36" s="90">
        <f>VLOOKUP(B36,'NonXtal_SegEnds_Prot#'!A:AL,6,FALSE)-VLOOKUP(B36,'NonXtal_SegEnds_Prot#'!A:AL,5,FALSE)</f>
        <v>1</v>
      </c>
      <c r="AC36" s="90">
        <f>VLOOKUP(B36,'NonXtal_SegEnds_Prot#'!A:AL,9,FALSE)-VLOOKUP(B36,'NonXtal_SegEnds_Prot#'!A:AL,8,FALSE)</f>
        <v>1</v>
      </c>
      <c r="AD36" s="90">
        <f>VLOOKUP(B36,'NonXtal_SegEnds_Prot#'!A:AL,13,FALSE)-VLOOKUP(B36,'NonXtal_SegEnds_Prot#'!A:AL,10,FALSE)</f>
        <v>20</v>
      </c>
      <c r="AE36" s="90">
        <f>VLOOKUP(B36,'NonXtal_SegEnds_Prot#'!A:AL,12,FALSE)-VLOOKUP(B36,'NonXtal_SegEnds_Prot#'!A:AL,11,FALSE)</f>
        <v>2</v>
      </c>
      <c r="AF36" s="90">
        <f>VLOOKUP(B36,'NonXtal_SegEnds_Prot#'!A:AL,13,FALSE)-VLOOKUP(B36,'NonXtal_SegEnds_Prot#'!A:AL,11,FALSE)</f>
        <v>3</v>
      </c>
      <c r="AG36" s="90">
        <f>VLOOKUP(B36,'NonXtal_SegEnds_Prot#'!A:AL,16,FALSE)-VLOOKUP(B36,'NonXtal_SegEnds_Prot#'!A:AL,10,FALSE)</f>
        <v>52</v>
      </c>
      <c r="AH36" s="90">
        <f>VLOOKUP(B36,'NonXtal_SegEnds_Prot#'!A:AL,16,FALSE)-VLOOKUP(B36,'NonXtal_SegEnds_Prot#'!A:AL,11,FALSE)</f>
        <v>35</v>
      </c>
      <c r="AI36" s="90">
        <f>VLOOKUP(B36,'NonXtal_SegEnds_Prot#'!A:AL,15,FALSE)-VLOOKUP(B36,'NonXtal_SegEnds_Prot#'!A:AL,14,FALSE)</f>
        <v>1</v>
      </c>
      <c r="AJ36" s="90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77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5">
      <c r="A37" s="2" t="s">
        <v>1500</v>
      </c>
      <c r="B37" s="2" t="s">
        <v>1119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78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90" t="str">
        <f>VLOOKUP(B37,Classification!A:D,2,FALSE)</f>
        <v>A</v>
      </c>
      <c r="AB37" s="90">
        <f>VLOOKUP(B37,'NonXtal_SegEnds_Prot#'!A:AL,6,FALSE)-VLOOKUP(B37,'NonXtal_SegEnds_Prot#'!A:AL,5,FALSE)</f>
        <v>1</v>
      </c>
      <c r="AC37" s="90">
        <f>VLOOKUP(B37,'NonXtal_SegEnds_Prot#'!A:AL,9,FALSE)-VLOOKUP(B37,'NonXtal_SegEnds_Prot#'!A:AL,8,FALSE)</f>
        <v>1</v>
      </c>
      <c r="AD37" s="90" t="e">
        <f>VLOOKUP(B37,'NonXtal_SegEnds_Prot#'!A:AL,13,FALSE)-VLOOKUP(B37,'NonXtal_SegEnds_Prot#'!A:AL,10,FALSE)</f>
        <v>#VALUE!</v>
      </c>
      <c r="AE37" s="90" t="e">
        <f>VLOOKUP(B37,'NonXtal_SegEnds_Prot#'!A:AL,12,FALSE)-VLOOKUP(B37,'NonXtal_SegEnds_Prot#'!A:AL,11,FALSE)</f>
        <v>#VALUE!</v>
      </c>
      <c r="AF37" s="90" t="e">
        <f>VLOOKUP(B37,'NonXtal_SegEnds_Prot#'!A:AL,13,FALSE)-VLOOKUP(B37,'NonXtal_SegEnds_Prot#'!A:AL,11,FALSE)</f>
        <v>#VALUE!</v>
      </c>
      <c r="AG37" s="90">
        <f>VLOOKUP(B37,'NonXtal_SegEnds_Prot#'!A:AL,16,FALSE)-VLOOKUP(B37,'NonXtal_SegEnds_Prot#'!A:AL,10,FALSE)</f>
        <v>50</v>
      </c>
      <c r="AH37" s="90">
        <f>VLOOKUP(B37,'NonXtal_SegEnds_Prot#'!A:AL,16,FALSE)-VLOOKUP(B37,'NonXtal_SegEnds_Prot#'!A:AL,11,FALSE)</f>
        <v>34</v>
      </c>
      <c r="AI37" s="90" t="e">
        <f>VLOOKUP(B37,'NonXtal_SegEnds_Prot#'!A:AL,15,FALSE)-VLOOKUP(B37,'NonXtal_SegEnds_Prot#'!A:AL,14,FALSE)</f>
        <v>#VALUE!</v>
      </c>
      <c r="AJ37" s="90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75"/>
    </row>
    <row r="38" spans="1:62" s="2" customFormat="1" x14ac:dyDescent="0.25">
      <c r="A38" s="2" t="s">
        <v>1495</v>
      </c>
      <c r="B38" s="2" t="s">
        <v>538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78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90" t="str">
        <f>VLOOKUP(B38,Classification!A:D,2,FALSE)</f>
        <v>A</v>
      </c>
      <c r="AB38" s="90" t="e">
        <f>VLOOKUP(B38,'NonXtal_SegEnds_Prot#'!A:AL,6,FALSE)-VLOOKUP(B38,'NonXtal_SegEnds_Prot#'!A:AL,5,FALSE)</f>
        <v>#VALUE!</v>
      </c>
      <c r="AC38" s="90" t="e">
        <f>VLOOKUP(B38,'NonXtal_SegEnds_Prot#'!A:AL,9,FALSE)-VLOOKUP(B38,'NonXtal_SegEnds_Prot#'!A:AL,8,FALSE)</f>
        <v>#VALUE!</v>
      </c>
      <c r="AD38" s="90">
        <f>VLOOKUP(B38,'NonXtal_SegEnds_Prot#'!A:AL,13,FALSE)-VLOOKUP(B38,'NonXtal_SegEnds_Prot#'!A:AL,10,FALSE)</f>
        <v>20</v>
      </c>
      <c r="AE38" s="90">
        <f>VLOOKUP(B38,'NonXtal_SegEnds_Prot#'!A:AL,12,FALSE)-VLOOKUP(B38,'NonXtal_SegEnds_Prot#'!A:AL,11,FALSE)</f>
        <v>3</v>
      </c>
      <c r="AF38" s="90">
        <f>VLOOKUP(B38,'NonXtal_SegEnds_Prot#'!A:AL,13,FALSE)-VLOOKUP(B38,'NonXtal_SegEnds_Prot#'!A:AL,11,FALSE)</f>
        <v>4</v>
      </c>
      <c r="AG38" s="90">
        <f>VLOOKUP(B38,'NonXtal_SegEnds_Prot#'!A:AL,16,FALSE)-VLOOKUP(B38,'NonXtal_SegEnds_Prot#'!A:AL,10,FALSE)</f>
        <v>52</v>
      </c>
      <c r="AH38" s="90">
        <f>VLOOKUP(B38,'NonXtal_SegEnds_Prot#'!A:AL,16,FALSE)-VLOOKUP(B38,'NonXtal_SegEnds_Prot#'!A:AL,11,FALSE)</f>
        <v>36</v>
      </c>
      <c r="AI38" s="90">
        <f>VLOOKUP(B38,'NonXtal_SegEnds_Prot#'!A:AL,15,FALSE)-VLOOKUP(B38,'NonXtal_SegEnds_Prot#'!A:AL,14,FALSE)</f>
        <v>1</v>
      </c>
      <c r="AJ38" s="90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75"/>
    </row>
    <row r="39" spans="1:62" s="2" customFormat="1" x14ac:dyDescent="0.25">
      <c r="A39" s="2" t="s">
        <v>1499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78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78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90" t="str">
        <f>VLOOKUP(B39,Classification!A:D,2,FALSE)</f>
        <v>F</v>
      </c>
      <c r="AB39" s="90">
        <f>VLOOKUP(B39,'NonXtal_SegEnds_Prot#'!A:AL,6,FALSE)-VLOOKUP(B39,'NonXtal_SegEnds_Prot#'!A:AL,5,FALSE)</f>
        <v>1</v>
      </c>
      <c r="AC39" s="90">
        <f>VLOOKUP(B39,'NonXtal_SegEnds_Prot#'!A:AL,9,FALSE)-VLOOKUP(B39,'NonXtal_SegEnds_Prot#'!A:AL,8,FALSE)</f>
        <v>1</v>
      </c>
      <c r="AD39" s="90" t="e">
        <f>VLOOKUP(B39,'NonXtal_SegEnds_Prot#'!A:AL,13,FALSE)-VLOOKUP(B39,'NonXtal_SegEnds_Prot#'!A:AL,10,FALSE)</f>
        <v>#VALUE!</v>
      </c>
      <c r="AE39" s="90" t="e">
        <f>VLOOKUP(B39,'NonXtal_SegEnds_Prot#'!A:AL,12,FALSE)-VLOOKUP(B39,'NonXtal_SegEnds_Prot#'!A:AL,11,FALSE)</f>
        <v>#VALUE!</v>
      </c>
      <c r="AF39" s="90" t="e">
        <f>VLOOKUP(B39,'NonXtal_SegEnds_Prot#'!A:AL,13,FALSE)-VLOOKUP(B39,'NonXtal_SegEnds_Prot#'!A:AL,11,FALSE)</f>
        <v>#VALUE!</v>
      </c>
      <c r="AG39" s="90">
        <f>VLOOKUP(B39,'NonXtal_SegEnds_Prot#'!A:AL,16,FALSE)-VLOOKUP(B39,'NonXtal_SegEnds_Prot#'!A:AL,10,FALSE)</f>
        <v>67</v>
      </c>
      <c r="AH39" s="90">
        <f>VLOOKUP(B39,'NonXtal_SegEnds_Prot#'!A:AL,16,FALSE)-VLOOKUP(B39,'NonXtal_SegEnds_Prot#'!A:AL,11,FALSE)</f>
        <v>54</v>
      </c>
      <c r="AI39" s="90" t="e">
        <f>VLOOKUP(B39,'NonXtal_SegEnds_Prot#'!A:AL,15,FALSE)-VLOOKUP(B39,'NonXtal_SegEnds_Prot#'!A:AL,14,FALSE)</f>
        <v>#VALUE!</v>
      </c>
      <c r="AJ39" s="90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75"/>
    </row>
    <row r="40" spans="1:62" x14ac:dyDescent="0.25">
      <c r="A40" s="2" t="s">
        <v>1600</v>
      </c>
      <c r="B40" s="2" t="s">
        <v>375</v>
      </c>
      <c r="C40" s="2">
        <f>IFERROR(50+VLOOKUP($A40,'Xtal_SegEnds_Prot#'!$A:$AY,5,FALSE)-VLOOKUP($B40,'NonXtal_SegEnds_Prot#'!$A:$AL,4,FALSE),"-")</f>
        <v>29</v>
      </c>
      <c r="D40" s="2">
        <f>IFERROR(50+VLOOKUP($A40,'Xtal_SegEnds_Prot#'!$A:$AY,7,FALSE)-VLOOKUP($B40,'NonXtal_SegEnds_Prot#'!$A:$AL,4,FALSE),"-")</f>
        <v>60</v>
      </c>
      <c r="E40" s="2">
        <f>IFERROR(50+VLOOKUP($A40,'Xtal_SegEnds_Prot#'!$A:$AY,9,FALSE)-VLOOKUP($B40,'NonXtal_SegEnds_Prot#'!$A:$AL,7,FALSE),"-")</f>
        <v>48</v>
      </c>
      <c r="F40" s="2">
        <f>IFERROR(50+VLOOKUP($A40,'Xtal_SegEnds_Prot#'!$A:$AY,11,FALSE)-VLOOKUP($B40,'NonXtal_SegEnds_Prot#'!$A:$AL,7,FALSE),"-")</f>
        <v>51</v>
      </c>
      <c r="G40" s="2">
        <f>IFERROR(50+VLOOKUP($A40,'Xtal_SegEnds_Prot#'!$A:$AY,13,FALSE)-VLOOKUP($B40,'NonXtal_SegEnds_Prot#'!$A:$AL,10,FALSE),"-")</f>
        <v>37</v>
      </c>
      <c r="H40" s="2">
        <f>IFERROR(50+VLOOKUP($A40,'Xtal_SegEnds_Prot#'!$A:$AY,15,FALSE)-VLOOKUP($B40,'NonXtal_SegEnds_Prot#'!$A:$AL,10,FALSE),"-")</f>
        <v>66</v>
      </c>
      <c r="I40" s="2" t="str">
        <f>IFERROR(50+VLOOKUP($A40,'Xtal_SegEnds_Prot#'!$A:$AY,17,FALSE)-VLOOKUP($B40,'NonXtal_SegEnds_Prot#'!$A:$AL,13,FALSE),"-")</f>
        <v>-</v>
      </c>
      <c r="J40" s="2" t="str">
        <f>IFERROR(50+VLOOKUP($A40,'Xtal_SegEnds_Prot#'!$A:$AY,19,FALSE)-VLOOKUP($B40,'NonXtal_SegEnds_Prot#'!$A:$AL,13,FALSE),"-")</f>
        <v>-</v>
      </c>
      <c r="K40" s="2">
        <f>IFERROR(50+VLOOKUP($A40,'Xtal_SegEnds_Prot#'!$A:$AY,21,FALSE)-VLOOKUP($B40,'NonXtal_SegEnds_Prot#'!$A:$AL,16,FALSE),"-")</f>
        <v>21</v>
      </c>
      <c r="L40" s="2">
        <f>IFERROR(50+VLOOKUP($A40,'Xtal_SegEnds_Prot#'!$A:$AY,23,FALSE)-VLOOKUP($B40,'NonXtal_SegEnds_Prot#'!$A:$AL,16,FALSE),"-")</f>
        <v>56</v>
      </c>
      <c r="M40" s="2">
        <f>IFERROR(50+VLOOKUP($A40,'Xtal_SegEnds_Prot#'!$A:$AY,25,FALSE)-VLOOKUP($B40,'NonXtal_SegEnds_Prot#'!$A:$AL,19,FALSE),"-")</f>
        <v>50</v>
      </c>
      <c r="N40" s="2">
        <f>IFERROR(50+VLOOKUP($A40,'Xtal_SegEnds_Prot#'!$A:$AY,27,FALSE)-VLOOKUP($B40,'NonXtal_SegEnds_Prot#'!$A:$AL,19,FALSE),"-")</f>
        <v>57</v>
      </c>
      <c r="O40" s="2">
        <f>IFERROR(50+VLOOKUP($A40,'Xtal_SegEnds_Prot#'!$A:$AY,29,FALSE)-VLOOKUP($B40,'NonXtal_SegEnds_Prot#'!$A:$AL,22,FALSE),"-")</f>
        <v>39</v>
      </c>
      <c r="P40" s="2">
        <f>IFERROR(50+VLOOKUP($A40,'Xtal_SegEnds_Prot#'!$A:$AY,31,FALSE)-VLOOKUP($B40,'NonXtal_SegEnds_Prot#'!$A:$AL,22,FALSE),"-")</f>
        <v>63</v>
      </c>
      <c r="Q40" s="2" t="str">
        <f>IFERROR(50+VLOOKUP($A40,'Xtal_SegEnds_Prot#'!$A:$AY,33,FALSE)-VLOOKUP($B40,'NonXtal_SegEnds_Prot#'!$A:$AL,25,FALSE),"-")</f>
        <v>-</v>
      </c>
      <c r="R40" s="2" t="str">
        <f>IFERROR(50+VLOOKUP($A40,'Xtal_SegEnds_Prot#'!$A:$AY,35,FALSE)-VLOOKUP($B40,'NonXtal_SegEnds_Prot#'!$A:$AL,25,FALSE),"-")</f>
        <v>-</v>
      </c>
      <c r="S40" s="2">
        <f>IFERROR(50+VLOOKUP($A40,'Xtal_SegEnds_Prot#'!$A:$AY,37,FALSE)-VLOOKUP($B40,'NonXtal_SegEnds_Prot#'!$A:$AL,28,FALSE),"-")</f>
        <v>36</v>
      </c>
      <c r="T40" s="78">
        <f>IFERROR(50+VLOOKUP($A40,'Xtal_SegEnds_Prot#'!$A:$AY,39,FALSE)-VLOOKUP($B40,'NonXtal_SegEnds_Prot#'!$A:$AL,28,FALSE),"-")</f>
        <v>76</v>
      </c>
      <c r="U40" s="2">
        <f>IFERROR(50+VLOOKUP($A40,'Xtal_SegEnds_Prot#'!$A:$AY,41,FALSE)-VLOOKUP($B40,'NonXtal_SegEnds_Prot#'!$A:$AL,31,FALSE),"-")</f>
        <v>24</v>
      </c>
      <c r="V40" s="2">
        <f>IFERROR(50+VLOOKUP($A40,'Xtal_SegEnds_Prot#'!$A:$AY,43,FALSE)-VLOOKUP($B40,'NonXtal_SegEnds_Prot#'!$A:$AL,31,FALSE),"-")</f>
        <v>61</v>
      </c>
      <c r="W40" s="2">
        <f>IFERROR(50+VLOOKUP($A40,'Xtal_SegEnds_Prot#'!$A:$AY,45,FALSE)-VLOOKUP($B40,'NonXtal_SegEnds_Prot#'!$A:$AL,34,FALSE),"-")</f>
        <v>29</v>
      </c>
      <c r="X40" s="2">
        <f>IFERROR(50+VLOOKUP($A40,'Xtal_SegEnds_Prot#'!$A:$AY,47,FALSE)-VLOOKUP($B40,'NonXtal_SegEnds_Prot#'!$A:$AL,34,FALSE),"-")</f>
        <v>56</v>
      </c>
      <c r="Y40" s="2">
        <f>IFERROR(50+VLOOKUP($A40,'Xtal_SegEnds_Prot#'!$A:$AY,49,FALSE)-VLOOKUP($B40,'NonXtal_SegEnds_Prot#'!$A:$AL,37,FALSE),"-")</f>
        <v>47</v>
      </c>
      <c r="Z40" s="2">
        <f>IFERROR(50+VLOOKUP($A40,'Xtal_SegEnds_Prot#'!$A:$AY,51,FALSE)-VLOOKUP($B40,'NonXtal_SegEnds_Prot#'!$A:$AL,37,FALSE),"-")</f>
        <v>59</v>
      </c>
      <c r="AA40" s="90" t="str">
        <f>VLOOKUP(B40,Classification!A:D,2,FALSE)</f>
        <v>A</v>
      </c>
      <c r="AB40" s="90">
        <f>VLOOKUP(B40,'NonXtal_SegEnds_Prot#'!A:AL,6,FALSE)-VLOOKUP(B40,'NonXtal_SegEnds_Prot#'!A:AL,5,FALSE)</f>
        <v>1</v>
      </c>
      <c r="AC40" s="90">
        <f>VLOOKUP(B40,'NonXtal_SegEnds_Prot#'!A:AL,9,FALSE)-VLOOKUP(B40,'NonXtal_SegEnds_Prot#'!A:AL,8,FALSE)</f>
        <v>2</v>
      </c>
      <c r="AD40" s="90" t="e">
        <f>VLOOKUP(B40,'NonXtal_SegEnds_Prot#'!A:AL,13,FALSE)-VLOOKUP(B40,'NonXtal_SegEnds_Prot#'!A:AL,10,FALSE)</f>
        <v>#VALUE!</v>
      </c>
      <c r="AE40" s="90" t="e">
        <f>VLOOKUP(B40,'NonXtal_SegEnds_Prot#'!A:AL,12,FALSE)-VLOOKUP(B40,'NonXtal_SegEnds_Prot#'!A:AL,11,FALSE)</f>
        <v>#VALUE!</v>
      </c>
      <c r="AF40" s="90" t="e">
        <f>VLOOKUP(B40,'NonXtal_SegEnds_Prot#'!A:AL,13,FALSE)-VLOOKUP(B40,'NonXtal_SegEnds_Prot#'!A:AL,11,FALSE)</f>
        <v>#VALUE!</v>
      </c>
      <c r="AG40" s="90">
        <f>VLOOKUP(B40,'NonXtal_SegEnds_Prot#'!A:AL,16,FALSE)-VLOOKUP(B40,'NonXtal_SegEnds_Prot#'!A:AL,10,FALSE)</f>
        <v>51</v>
      </c>
      <c r="AH40" s="90">
        <f>VLOOKUP(B40,'NonXtal_SegEnds_Prot#'!A:AL,16,FALSE)-VLOOKUP(B40,'NonXtal_SegEnds_Prot#'!A:AL,11,FALSE)</f>
        <v>35</v>
      </c>
      <c r="AI40" s="90" t="e">
        <f>VLOOKUP(B40,'NonXtal_SegEnds_Prot#'!A:AL,15,FALSE)-VLOOKUP(B40,'NonXtal_SegEnds_Prot#'!A:AL,14,FALSE)</f>
        <v>#VALUE!</v>
      </c>
      <c r="AJ40" s="90">
        <f>VLOOKUP(B40,'NonXtal_SegEnds_Prot#'!A:AL,18,FALSE)-VLOOKUP(B40,'NonXtal_SegEnds_Prot#'!A:AL,17,FALSE)</f>
        <v>1</v>
      </c>
      <c r="AK40" s="2">
        <f>VLOOKUP(B40,'NonXtal_SegEnds_Prot#'!A:AL,34,FALSE)-VLOOKUP(B40,'NonXtal_SegEnds_Prot#'!A:AL,31,FALSE)</f>
        <v>36</v>
      </c>
    </row>
    <row r="41" spans="1:62" x14ac:dyDescent="0.25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78"/>
      <c r="U41" s="2"/>
      <c r="V41" s="2"/>
      <c r="W41" s="2"/>
      <c r="X41" s="2"/>
      <c r="Y41" s="2"/>
      <c r="Z41" s="2"/>
      <c r="AL41" s="76"/>
      <c r="AM41" s="66" t="s">
        <v>1266</v>
      </c>
      <c r="AN41" s="66" t="s">
        <v>1267</v>
      </c>
      <c r="AO41" s="66" t="s">
        <v>1283</v>
      </c>
      <c r="AP41" s="66" t="s">
        <v>1284</v>
      </c>
      <c r="AQ41" s="66" t="s">
        <v>1268</v>
      </c>
      <c r="AR41" s="66" t="s">
        <v>1269</v>
      </c>
      <c r="AS41" s="66" t="s">
        <v>1285</v>
      </c>
      <c r="AT41" s="66" t="s">
        <v>1286</v>
      </c>
      <c r="AU41" s="66" t="s">
        <v>1270</v>
      </c>
      <c r="AV41" s="66" t="s">
        <v>1271</v>
      </c>
      <c r="AW41" s="66" t="s">
        <v>1298</v>
      </c>
      <c r="AX41" s="66" t="s">
        <v>1299</v>
      </c>
      <c r="AY41" s="66" t="s">
        <v>1272</v>
      </c>
      <c r="AZ41" s="66" t="s">
        <v>1273</v>
      </c>
      <c r="BA41" s="66" t="s">
        <v>1301</v>
      </c>
      <c r="BB41" s="66" t="s">
        <v>1302</v>
      </c>
      <c r="BC41" s="66" t="s">
        <v>1274</v>
      </c>
      <c r="BD41" s="66" t="s">
        <v>1275</v>
      </c>
      <c r="BE41" s="66" t="s">
        <v>1276</v>
      </c>
      <c r="BF41" s="66" t="s">
        <v>1277</v>
      </c>
      <c r="BG41" s="66" t="s">
        <v>1278</v>
      </c>
      <c r="BH41" s="66" t="s">
        <v>1279</v>
      </c>
      <c r="BI41" s="66" t="s">
        <v>1280</v>
      </c>
      <c r="BJ41" s="66" t="s">
        <v>1281</v>
      </c>
    </row>
    <row r="42" spans="1:62" x14ac:dyDescent="0.25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78"/>
      <c r="U42" s="2"/>
      <c r="V42" s="2"/>
      <c r="W42" s="2"/>
      <c r="X42" s="2"/>
      <c r="Y42" s="2"/>
      <c r="Z42" s="2"/>
      <c r="AL42" s="76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5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78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5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78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5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78"/>
      <c r="U45" s="2"/>
      <c r="V45" s="2"/>
      <c r="W45" s="2"/>
      <c r="X45" s="2"/>
      <c r="Y45" s="2"/>
      <c r="Z45" s="2"/>
      <c r="AL45" s="76" t="s">
        <v>1507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5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78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5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78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5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78"/>
      <c r="U48" s="2"/>
      <c r="V48" s="2"/>
      <c r="W48" s="2"/>
      <c r="X48" s="2"/>
      <c r="Y48" s="2"/>
      <c r="Z48" s="2"/>
      <c r="AL48" s="76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5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78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5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78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5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78"/>
      <c r="U51" s="2"/>
      <c r="V51" s="2"/>
      <c r="W51" s="2"/>
      <c r="X51" s="2"/>
      <c r="Y51" s="2"/>
      <c r="Z51" s="2"/>
      <c r="AL51" s="76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78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78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78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78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78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78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78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78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78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78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78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78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78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78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78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78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78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78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78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78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78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78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78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78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78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78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78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78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78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78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78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78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78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78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78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78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78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78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78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78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78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78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78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78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78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78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78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78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78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78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78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78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78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78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78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78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78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78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78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78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78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78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78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78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78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78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78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78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78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78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78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78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78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78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78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78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78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78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78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78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78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78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8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21" sqref="F21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5">
      <c r="A1" s="11" t="s">
        <v>1282</v>
      </c>
      <c r="B1" s="11" t="s">
        <v>0</v>
      </c>
      <c r="C1" s="11" t="s">
        <v>1424</v>
      </c>
      <c r="D1" s="11" t="s">
        <v>205</v>
      </c>
      <c r="E1" s="11" t="s">
        <v>1519</v>
      </c>
      <c r="F1" s="11" t="s">
        <v>1463</v>
      </c>
      <c r="G1" s="11" t="s">
        <v>1275</v>
      </c>
      <c r="H1" s="11" t="s">
        <v>1276</v>
      </c>
      <c r="I1" s="11"/>
      <c r="J1" s="11"/>
      <c r="K1" s="11" t="s">
        <v>1517</v>
      </c>
      <c r="L1" s="11" t="s">
        <v>1562</v>
      </c>
      <c r="M1" s="11" t="s">
        <v>1522</v>
      </c>
      <c r="N1" s="11" t="s">
        <v>1523</v>
      </c>
    </row>
    <row r="2" spans="1:14" s="58" customFormat="1" x14ac:dyDescent="0.25">
      <c r="A2" s="33" t="s">
        <v>1529</v>
      </c>
      <c r="B2" s="11" t="s">
        <v>129</v>
      </c>
      <c r="C2" s="11" t="s">
        <v>129</v>
      </c>
      <c r="D2" s="33" t="s">
        <v>1530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5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1390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5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1119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1517</v>
      </c>
    </row>
    <row r="5" spans="1:14" s="1" customFormat="1" x14ac:dyDescent="0.25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366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5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1391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5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548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5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538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5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351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5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545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1528</v>
      </c>
    </row>
    <row r="11" spans="1:14" s="1" customFormat="1" x14ac:dyDescent="0.25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528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5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1111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5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529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5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1113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1517</v>
      </c>
    </row>
    <row r="15" spans="1:14" s="1" customFormat="1" x14ac:dyDescent="0.25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1392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5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1115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1517</v>
      </c>
    </row>
    <row r="17" spans="1:14" x14ac:dyDescent="0.25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532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5">
      <c r="A18" s="1" t="s">
        <v>1561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389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5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296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1524</v>
      </c>
    </row>
    <row r="20" spans="1:14" x14ac:dyDescent="0.25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297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1525</v>
      </c>
    </row>
    <row r="21" spans="1:14" x14ac:dyDescent="0.25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332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1517</v>
      </c>
      <c r="L21" s="1"/>
    </row>
    <row r="22" spans="1:14" x14ac:dyDescent="0.25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88" t="s">
        <v>1109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1521</v>
      </c>
    </row>
    <row r="23" spans="1:14" x14ac:dyDescent="0.25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88" t="s">
        <v>319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1517</v>
      </c>
      <c r="L23" s="1"/>
      <c r="N23" t="s">
        <v>1527</v>
      </c>
    </row>
    <row r="24" spans="1:14" s="1" customFormat="1" x14ac:dyDescent="0.25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5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5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385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5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339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5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340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1517</v>
      </c>
    </row>
    <row r="29" spans="1:14" s="1" customFormat="1" x14ac:dyDescent="0.25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342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5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471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5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1105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05" customFormat="1" x14ac:dyDescent="0.25">
      <c r="A32" s="104" t="str">
        <f>D32&amp;"__wt"</f>
        <v>opsd_todpa__wt</v>
      </c>
      <c r="B32" s="104" t="str">
        <f>VLOOKUP(D32,Classification!A:D,3,FALSE)</f>
        <v>Sensory</v>
      </c>
      <c r="C32" s="104" t="str">
        <f>VLOOKUP(D32,Classification!A:D,4,FALSE)</f>
        <v>Opsins</v>
      </c>
      <c r="D32" s="104" t="s">
        <v>1117</v>
      </c>
      <c r="E32" s="104">
        <f>VLOOKUP($D32,'NonXtal_SegEnds_Prot#'!$A:$AY,30,FALSE)-VLOOKUP($D32,'NonXtal_SegEnds_Prot#'!$A:$AY,29,FALSE)</f>
        <v>5</v>
      </c>
      <c r="F32" s="80">
        <f>VLOOKUP($D32,'NonXtal_SegEnds_Prot#'!$A:$AY,31,FALSE)-VLOOKUP($D32,'NonXtal_SegEnds_Prot#'!$A:$AY,28,FALSE)</f>
        <v>64</v>
      </c>
      <c r="G32" s="104">
        <f>50+VLOOKUP($A32,'Xtal_SegEnds_Prot#'!$A:$AY,39,FALSE)-VLOOKUP($D32,'NonXtal_SegEnds_Prot#'!$A:$AY,28,FALSE)</f>
        <v>77</v>
      </c>
      <c r="H32" s="104">
        <f>50+VLOOKUP($A32,'Xtal_SegEnds_Prot#'!$A:$AY,41,FALSE)-VLOOKUP($D32,'NonXtal_SegEnds_Prot#'!$A:$AY,31,FALSE)</f>
        <v>18</v>
      </c>
      <c r="I32" s="104" t="s">
        <v>1564</v>
      </c>
      <c r="J32" s="104"/>
    </row>
    <row r="33" spans="1:14" s="1" customFormat="1" x14ac:dyDescent="0.25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88" t="s">
        <v>1394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1520</v>
      </c>
      <c r="N33" s="1" t="s">
        <v>1526</v>
      </c>
    </row>
    <row r="34" spans="1:14" x14ac:dyDescent="0.25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88" t="s">
        <v>1393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1520</v>
      </c>
      <c r="N34" s="1" t="s">
        <v>1526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1107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1517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7" priority="10" operator="equal">
      <formula>"Opsins"</formula>
    </cfRule>
    <cfRule type="cellIs" dxfId="36" priority="11" operator="equal">
      <formula>"Opioid"</formula>
    </cfRule>
    <cfRule type="cellIs" dxfId="35" priority="12" operator="equal">
      <formula>"P2Y"</formula>
    </cfRule>
    <cfRule type="cellIs" dxfId="34" priority="13" operator="equal">
      <formula>"Chemokine"</formula>
    </cfRule>
  </conditionalFormatting>
  <conditionalFormatting sqref="B3:B35">
    <cfRule type="cellIs" dxfId="33" priority="5" operator="equal">
      <formula>"Aminergic"</formula>
    </cfRule>
    <cfRule type="cellIs" dxfId="32" priority="6" operator="equal">
      <formula>"Opsins"</formula>
    </cfRule>
    <cfRule type="cellIs" dxfId="31" priority="7" operator="equal">
      <formula>"Opioid"</formula>
    </cfRule>
    <cfRule type="cellIs" dxfId="30" priority="8" operator="equal">
      <formula>"P2Y"</formula>
    </cfRule>
    <cfRule type="cellIs" dxfId="29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216" activePane="bottomLeft" state="frozenSplit"/>
      <selection pane="bottomLeft" activeCell="G231" sqref="G23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5">
      <c r="A1" s="17" t="s">
        <v>205</v>
      </c>
      <c r="B1" s="17" t="s">
        <v>1425</v>
      </c>
      <c r="C1" s="62" t="s">
        <v>1266</v>
      </c>
      <c r="D1" s="11" t="s">
        <v>1267</v>
      </c>
      <c r="E1" s="11" t="s">
        <v>1283</v>
      </c>
      <c r="F1" s="11" t="s">
        <v>1284</v>
      </c>
      <c r="G1" s="11" t="s">
        <v>1268</v>
      </c>
      <c r="H1" s="11" t="s">
        <v>1269</v>
      </c>
      <c r="I1" s="11" t="s">
        <v>1285</v>
      </c>
      <c r="J1" s="11" t="s">
        <v>1286</v>
      </c>
      <c r="K1" s="11" t="s">
        <v>1270</v>
      </c>
      <c r="L1" s="11" t="s">
        <v>1271</v>
      </c>
      <c r="M1" s="11" t="s">
        <v>1298</v>
      </c>
      <c r="N1" s="11" t="s">
        <v>1299</v>
      </c>
      <c r="O1" s="11" t="s">
        <v>1272</v>
      </c>
      <c r="P1" s="11" t="s">
        <v>1273</v>
      </c>
      <c r="Q1" s="11" t="s">
        <v>1301</v>
      </c>
      <c r="R1" s="11" t="s">
        <v>1302</v>
      </c>
      <c r="S1" s="11" t="s">
        <v>1274</v>
      </c>
      <c r="T1" s="70" t="s">
        <v>1275</v>
      </c>
      <c r="U1" s="11" t="s">
        <v>1276</v>
      </c>
      <c r="V1" s="11" t="s">
        <v>1277</v>
      </c>
      <c r="W1" s="11" t="s">
        <v>1278</v>
      </c>
      <c r="X1" s="11" t="s">
        <v>1279</v>
      </c>
      <c r="Y1" s="11" t="s">
        <v>1280</v>
      </c>
      <c r="Z1" s="11" t="s">
        <v>1281</v>
      </c>
      <c r="AA1" s="62" t="s">
        <v>291</v>
      </c>
      <c r="AB1" s="66" t="s">
        <v>1512</v>
      </c>
      <c r="AC1" s="66" t="s">
        <v>1508</v>
      </c>
      <c r="AD1" s="66" t="s">
        <v>1462</v>
      </c>
      <c r="AE1" s="62" t="s">
        <v>1505</v>
      </c>
      <c r="AF1" s="66" t="s">
        <v>1463</v>
      </c>
      <c r="AG1" s="66" t="s">
        <v>1460</v>
      </c>
    </row>
    <row r="2" spans="1:33" x14ac:dyDescent="0.25">
      <c r="A2" s="1" t="s">
        <v>359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5">
      <c r="A3" s="1" t="s">
        <v>335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5">
      <c r="A4" s="1" t="s">
        <v>371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5">
      <c r="A5" s="1" t="s">
        <v>497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5">
      <c r="A6" s="1" t="s">
        <v>487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5">
      <c r="A7" s="1" t="s">
        <v>488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5">
      <c r="A8" s="1" t="s">
        <v>495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5">
      <c r="A9" s="1" t="s">
        <v>498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5">
      <c r="A10" s="1" t="s">
        <v>499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5">
      <c r="A11" s="1" t="s">
        <v>500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5">
      <c r="A12" s="1" t="s">
        <v>501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5">
      <c r="A13" s="1" t="s">
        <v>550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5">
      <c r="A14" s="1" t="s">
        <v>551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5">
      <c r="A15" s="1" t="s">
        <v>667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5">
      <c r="A16" s="1" t="s">
        <v>336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5">
      <c r="A17" s="1" t="s">
        <v>337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5">
      <c r="A18" s="1" t="s">
        <v>338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5">
      <c r="A19" s="1" t="s">
        <v>358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5">
      <c r="A20" s="1" t="s">
        <v>361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5">
      <c r="A21" s="1" t="s">
        <v>362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5">
      <c r="A22" s="1" t="s">
        <v>364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5">
      <c r="A23" s="1" t="s">
        <v>365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5">
      <c r="A24" s="1" t="s">
        <v>367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5">
      <c r="A25" s="1" t="s">
        <v>368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5">
      <c r="A26" s="1" t="s">
        <v>369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5">
      <c r="A27" s="1" t="s">
        <v>370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5">
      <c r="A28" s="1" t="s">
        <v>374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5">
      <c r="A29" s="1" t="s">
        <v>377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5">
      <c r="A30" s="1" t="s">
        <v>378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5">
      <c r="A31" s="1" t="s">
        <v>379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5">
      <c r="A32" s="1" t="s">
        <v>380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5">
      <c r="A33" s="1" t="s">
        <v>1390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5">
      <c r="A34" s="1" t="s">
        <v>382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5">
      <c r="A35" s="1" t="s">
        <v>394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5">
      <c r="A36" s="1" t="s">
        <v>395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5">
      <c r="A37" s="1" t="s">
        <v>396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5">
      <c r="A38" s="1" t="s">
        <v>426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5">
      <c r="A39" s="1" t="s">
        <v>430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5">
      <c r="A40" s="1" t="s">
        <v>444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5">
      <c r="A41" s="1" t="s">
        <v>445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5">
      <c r="A42" s="1" t="s">
        <v>485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5">
      <c r="A43" s="1" t="s">
        <v>496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5">
      <c r="A44" s="1" t="s">
        <v>553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5">
      <c r="A45" s="1" t="s">
        <v>1119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5">
      <c r="A46" s="1" t="s">
        <v>593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5">
      <c r="A47" s="1" t="s">
        <v>357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5">
      <c r="A48" s="1" t="s">
        <v>363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5">
      <c r="A49" s="1" t="s">
        <v>366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5">
      <c r="A50" s="1" t="s">
        <v>381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5">
      <c r="A51" s="1" t="s">
        <v>392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5">
      <c r="A52" s="1" t="s">
        <v>410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5">
      <c r="A53" s="1" t="s">
        <v>451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5">
      <c r="A54" s="1" t="s">
        <v>494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5">
      <c r="A55" s="1" t="s">
        <v>1391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5">
      <c r="A56" s="1" t="s">
        <v>439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5">
      <c r="A57" s="1" t="s">
        <v>476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5">
      <c r="A58" s="1" t="s">
        <v>477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5">
      <c r="A59" s="1" t="s">
        <v>478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5">
      <c r="A60" s="1" t="s">
        <v>567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5">
      <c r="A61" s="1" t="s">
        <v>391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5">
      <c r="A62" s="1" t="s">
        <v>397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5">
      <c r="A63" s="1" t="s">
        <v>407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5">
      <c r="A64" s="1" t="s">
        <v>433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5">
      <c r="A65" s="1" t="s">
        <v>450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5">
      <c r="A66" s="1" t="s">
        <v>469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5">
      <c r="A67" s="1" t="s">
        <v>470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5">
      <c r="A68" s="1" t="s">
        <v>482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5">
      <c r="A69" s="1" t="s">
        <v>484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5">
      <c r="A70" s="1" t="s">
        <v>486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5">
      <c r="A71" s="1" t="s">
        <v>524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5">
      <c r="A72" s="1" t="s">
        <v>535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5">
      <c r="A73" s="1" t="s">
        <v>536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5">
      <c r="A74" s="23" t="s">
        <v>538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74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5">
      <c r="A75" s="1" t="s">
        <v>544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5">
      <c r="A76" s="1" t="s">
        <v>548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5">
      <c r="A77" s="1" t="s">
        <v>563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5">
      <c r="A78" s="1" t="s">
        <v>588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5">
      <c r="A79" s="1" t="s">
        <v>372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5">
      <c r="A80" s="1" t="s">
        <v>411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5">
      <c r="A81" s="1" t="s">
        <v>422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5">
      <c r="A82" s="1" t="s">
        <v>468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5">
      <c r="A83" s="1" t="s">
        <v>542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5">
      <c r="A84" s="1" t="s">
        <v>570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5">
      <c r="A85" s="1" t="s">
        <v>351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5">
      <c r="A86" s="1" t="s">
        <v>352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5">
      <c r="A87" s="1" t="s">
        <v>409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5">
      <c r="A88" s="1" t="s">
        <v>417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5">
      <c r="A89" s="1" t="s">
        <v>424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5">
      <c r="A90" s="1" t="s">
        <v>429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5">
      <c r="A91" s="1" t="s">
        <v>434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5">
      <c r="A92" s="1" t="s">
        <v>436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5">
      <c r="A93" s="1" t="s">
        <v>443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5">
      <c r="A94" s="1" t="s">
        <v>454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5">
      <c r="A95" s="1" t="s">
        <v>481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5">
      <c r="A96" s="1" t="s">
        <v>483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5">
      <c r="A97" s="1" t="s">
        <v>540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5">
      <c r="A98" s="1" t="s">
        <v>543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5">
      <c r="A99" s="1" t="s">
        <v>549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5">
      <c r="A100" s="1" t="s">
        <v>579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5">
      <c r="A101" s="1" t="s">
        <v>344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5">
      <c r="A102" s="1" t="s">
        <v>355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5">
      <c r="A103" s="1" t="s">
        <v>373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5">
      <c r="A104" s="1" t="s">
        <v>412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5">
      <c r="A105" s="1" t="s">
        <v>432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5">
      <c r="A106" s="1" t="s">
        <v>447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5">
      <c r="A107" s="1" t="s">
        <v>465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5">
      <c r="A108" s="1" t="s">
        <v>564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5">
      <c r="A109" s="1" t="s">
        <v>353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5">
      <c r="A110" s="1" t="s">
        <v>398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5">
      <c r="A111" s="1" t="s">
        <v>539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5">
      <c r="A112" s="1" t="s">
        <v>541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5">
      <c r="A113" s="1" t="s">
        <v>545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5">
      <c r="A114" s="1" t="s">
        <v>546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5">
      <c r="A115" s="1" t="s">
        <v>547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5">
      <c r="A116" s="1" t="s">
        <v>558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5">
      <c r="A117" s="1" t="s">
        <v>578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5">
      <c r="A118" s="1" t="s">
        <v>589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5">
      <c r="A119" s="1" t="s">
        <v>354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5">
      <c r="A120" s="1" t="s">
        <v>416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5">
      <c r="A121" s="1" t="s">
        <v>427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5">
      <c r="A122" s="1" t="s">
        <v>446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5">
      <c r="A123" s="1" t="s">
        <v>461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5">
      <c r="A124" s="1" t="s">
        <v>492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5">
      <c r="A125" s="1" t="s">
        <v>513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5">
      <c r="A126" s="1" t="s">
        <v>514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5">
      <c r="A127" s="1" t="s">
        <v>528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5">
      <c r="A128" s="1" t="s">
        <v>1111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5">
      <c r="A129" s="1" t="s">
        <v>529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5">
      <c r="A130" s="1" t="s">
        <v>530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5">
      <c r="A131" s="1" t="s">
        <v>1113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5">
      <c r="A132" s="1" t="s">
        <v>1392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5">
      <c r="A133" s="1" t="s">
        <v>571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5">
      <c r="A134" s="1" t="s">
        <v>572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5">
      <c r="A135" s="1" t="s">
        <v>574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5">
      <c r="A136" s="1" t="s">
        <v>575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5">
      <c r="A137" s="1" t="s">
        <v>577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5">
      <c r="A138" s="1" t="s">
        <v>399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5">
      <c r="A139" s="1" t="s">
        <v>506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5">
      <c r="A140" s="1" t="s">
        <v>519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5">
      <c r="A141" s="1" t="s">
        <v>531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5">
      <c r="A142" s="1" t="s">
        <v>1115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5">
      <c r="A143" s="1" t="s">
        <v>532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5">
      <c r="A144" s="1" t="s">
        <v>533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5">
      <c r="A145" s="1" t="s">
        <v>534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5">
      <c r="A146" s="1" t="s">
        <v>568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5">
      <c r="A147" s="1" t="s">
        <v>569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5">
      <c r="A148" s="1" t="s">
        <v>389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5">
      <c r="A149" s="1" t="s">
        <v>390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5">
      <c r="A150" s="1" t="s">
        <v>448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5">
      <c r="A151" s="1" t="s">
        <v>388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5">
      <c r="A152" s="1" t="s">
        <v>400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5">
      <c r="A153" s="1" t="s">
        <v>402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5">
      <c r="A154" s="1" t="s">
        <v>503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5">
      <c r="A155" s="1" t="s">
        <v>504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5">
      <c r="A156" s="1" t="s">
        <v>505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5">
      <c r="A157" s="1" t="s">
        <v>520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5">
      <c r="A158" s="1" t="s">
        <v>556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5">
      <c r="A159" s="1" t="s">
        <v>576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5">
      <c r="A160" s="1" t="s">
        <v>333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5">
      <c r="A161" s="1" t="s">
        <v>472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5">
      <c r="A162" s="1" t="s">
        <v>507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5">
      <c r="A163" s="1" t="s">
        <v>509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5">
      <c r="A164" s="1" t="s">
        <v>512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5">
      <c r="A165" s="1" t="s">
        <v>518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5">
      <c r="A166" s="1" t="s">
        <v>522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5">
      <c r="A167" s="1" t="s">
        <v>560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5">
      <c r="A168" s="1" t="s">
        <v>561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5">
      <c r="A169" s="1" t="s">
        <v>334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5">
      <c r="A170" s="1" t="s">
        <v>435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5">
      <c r="A171" s="1" t="s">
        <v>462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5">
      <c r="A172" s="1" t="s">
        <v>296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5">
      <c r="A173" s="1" t="s">
        <v>479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5">
      <c r="A174" s="1" t="s">
        <v>480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5">
      <c r="A175" s="1" t="s">
        <v>490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5">
      <c r="A176" s="1" t="s">
        <v>491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5">
      <c r="A177" s="1" t="s">
        <v>508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5">
      <c r="A178" s="1" t="s">
        <v>525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5">
      <c r="A179" s="1" t="s">
        <v>527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5">
      <c r="A180" s="1" t="s">
        <v>562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5">
      <c r="A181" s="1" t="s">
        <v>581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5">
      <c r="A182" s="1" t="s">
        <v>583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5">
      <c r="A183" s="1" t="s">
        <v>331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5">
      <c r="A184" s="1" t="s">
        <v>356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5">
      <c r="A185" s="1" t="s">
        <v>408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5">
      <c r="A186" s="1" t="s">
        <v>431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5">
      <c r="A187" s="1" t="s">
        <v>442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5">
      <c r="A188" s="1" t="s">
        <v>455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5">
      <c r="A189" s="1" t="s">
        <v>467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5">
      <c r="A190" s="1" t="s">
        <v>493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5">
      <c r="A191" s="1" t="s">
        <v>502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5">
      <c r="A192" s="1" t="s">
        <v>510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5">
      <c r="A193" s="1" t="s">
        <v>515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5">
      <c r="A194" s="1" t="s">
        <v>559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5">
      <c r="A195" s="1" t="s">
        <v>419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5">
      <c r="A196" s="1" t="s">
        <v>489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5">
      <c r="A197" s="1" t="s">
        <v>516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5">
      <c r="A198" s="1" t="s">
        <v>297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5">
      <c r="A199" s="1" t="s">
        <v>332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5">
      <c r="A200" s="1" t="s">
        <v>376</v>
      </c>
      <c r="B200" s="1" t="str">
        <f>VLOOKUP(A200,Xtal_Templ!A:B,2,FALSE)</f>
        <v>cnr1_human</v>
      </c>
      <c r="C200" s="5">
        <f>VLOOKUP($B200&amp;"__wt",'Xtal_SegEnds_BW#'!$A:$Z,3,FALSE)</f>
        <v>29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5">
      <c r="A201" s="1" t="s">
        <v>403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5">
      <c r="A202" s="1" t="s">
        <v>466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5">
      <c r="A203" s="1" t="s">
        <v>475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5">
      <c r="A204" s="1" t="s">
        <v>565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5">
      <c r="A205" s="1" t="s">
        <v>566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5">
      <c r="A206" s="1" t="s">
        <v>573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5">
      <c r="A207" s="1" t="s">
        <v>582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5">
      <c r="A208" s="1" t="s">
        <v>428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5">
      <c r="A209" s="1" t="s">
        <v>406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5">
      <c r="A210" s="1" t="s">
        <v>425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5">
      <c r="A211" s="1" t="s">
        <v>526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5">
      <c r="A212" s="1" t="s">
        <v>1117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5">
      <c r="A213" s="1" t="s">
        <v>580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5">
      <c r="A214" s="1" t="s">
        <v>584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5">
      <c r="A215" s="1" t="s">
        <v>585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5">
      <c r="A216" s="1" t="s">
        <v>586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5">
      <c r="A217" s="1" t="s">
        <v>437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5">
      <c r="A218" s="1" t="s">
        <v>415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5">
      <c r="A219" s="1" t="s">
        <v>423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5">
      <c r="A220" s="1" t="s">
        <v>453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5">
      <c r="A221" s="1" t="s">
        <v>449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5">
      <c r="A222" s="1" t="s">
        <v>464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5">
      <c r="A223" s="1" t="s">
        <v>517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5">
      <c r="A224" s="1" t="s">
        <v>413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5">
      <c r="A225" s="1" t="s">
        <v>552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5">
      <c r="A226" s="1" t="s">
        <v>511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5">
      <c r="A227" s="1" t="s">
        <v>592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5">
      <c r="A228" s="1" t="s">
        <v>327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7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5">
      <c r="A229" s="1" t="s">
        <v>320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5">
      <c r="A230" s="1" t="s">
        <v>555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s="23" customFormat="1" x14ac:dyDescent="0.25">
      <c r="A231" s="23" t="s">
        <v>375</v>
      </c>
      <c r="B231" s="23" t="str">
        <f>VLOOKUP(A231,Xtal_Templ!A:B,2,FALSE)</f>
        <v>cnr1_human</v>
      </c>
      <c r="C231" s="24">
        <f>VLOOKUP($B231&amp;"__wt",'Xtal_SegEnds_BW#'!$A:$Z,3,FALSE)</f>
        <v>29</v>
      </c>
      <c r="D231" s="23">
        <f>VLOOKUP($B231&amp;"__wt",'Xtal_SegEnds_BW#'!$A:$Z,4,FALSE)</f>
        <v>60</v>
      </c>
      <c r="E231" s="23">
        <f>VLOOKUP($B231&amp;"__wt",'Xtal_SegEnds_BW#'!$A:$Z,5,FALSE)</f>
        <v>48</v>
      </c>
      <c r="F231" s="23">
        <f>VLOOKUP($B231&amp;"__wt",'Xtal_SegEnds_BW#'!$A:$Z,6,FALSE)</f>
        <v>51</v>
      </c>
      <c r="G231" s="23">
        <f>VLOOKUP($B231&amp;"__wt",'Xtal_SegEnds_BW#'!$A:$Z,7,FALSE)</f>
        <v>37</v>
      </c>
      <c r="H231" s="23">
        <f>VLOOKUP($B231&amp;"__wt",'Xtal_SegEnds_BW#'!$A:$Z,8,FALSE)</f>
        <v>66</v>
      </c>
      <c r="I231" s="23" t="str">
        <f>VLOOKUP($B231&amp;"__wt",'Xtal_SegEnds_BW#'!$A:$Z,9,FALSE)</f>
        <v>-</v>
      </c>
      <c r="J231" s="23" t="str">
        <f>VLOOKUP($B231&amp;"__wt",'Xtal_SegEnds_BW#'!$A:$Z,10,FALSE)</f>
        <v>-</v>
      </c>
      <c r="K231" s="23">
        <f>VLOOKUP($B231&amp;"__wt",'Xtal_SegEnds_BW#'!$A:$Z,11,FALSE)</f>
        <v>21</v>
      </c>
      <c r="L231" s="23">
        <f>VLOOKUP($B231&amp;"__wt",'Xtal_SegEnds_BW#'!$A:$Z,12,FALSE)</f>
        <v>56</v>
      </c>
      <c r="M231" s="23">
        <f>VLOOKUP($B231&amp;"__wt",'Xtal_SegEnds_BW#'!$A:$Z,13,FALSE)</f>
        <v>50</v>
      </c>
      <c r="N231" s="23">
        <f>VLOOKUP($B231&amp;"__wt",'Xtal_SegEnds_BW#'!$A:$Z,14,FALSE)</f>
        <v>57</v>
      </c>
      <c r="O231" s="23">
        <f>VLOOKUP($B231&amp;"__wt",'Xtal_SegEnds_BW#'!$A:$Z,15,FALSE)</f>
        <v>39</v>
      </c>
      <c r="P231" s="23">
        <f>VLOOKUP($B231&amp;"__wt",'Xtal_SegEnds_BW#'!$A:$Z,16,FALSE)</f>
        <v>63</v>
      </c>
      <c r="Q231" s="23" t="str">
        <f>VLOOKUP($B231&amp;"__wt",'Xtal_SegEnds_BW#'!$A:$Z,17,FALSE)</f>
        <v>-</v>
      </c>
      <c r="R231" s="23" t="str">
        <f>VLOOKUP($B231&amp;"__wt",'Xtal_SegEnds_BW#'!$A:$Z,18,FALSE)</f>
        <v>-</v>
      </c>
      <c r="S231" s="23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23">
        <f t="array" ref="U231">INDEX('ICL3'!$H$2:$H$31,MATCH(MIN(ABS(AF231-'ICL3'!$F$2:$F$31)),ABS(AF231-'ICL3'!$F$2:$F$31),0))</f>
        <v>24</v>
      </c>
      <c r="V231" s="23">
        <f>VLOOKUP($B231&amp;"__wt",'Xtal_SegEnds_BW#'!$A:$Z,22,FALSE)</f>
        <v>61</v>
      </c>
      <c r="W231" s="23">
        <f>VLOOKUP($B231&amp;"__wt",'Xtal_SegEnds_BW#'!$A:$Z,23,FALSE)</f>
        <v>29</v>
      </c>
      <c r="X231" s="23">
        <f>VLOOKUP($B231&amp;"__wt",'Xtal_SegEnds_BW#'!$A:$Z,24,FALSE)</f>
        <v>56</v>
      </c>
      <c r="Y231" s="23">
        <f>VLOOKUP($B231&amp;"__wt",'Xtal_SegEnds_BW#'!$A:$Z,25,FALSE)</f>
        <v>47</v>
      </c>
      <c r="Z231" s="23">
        <f>VLOOKUP($B231&amp;"__wt",'Xtal_SegEnds_BW#'!$A:$Z,26,FALSE)</f>
        <v>59</v>
      </c>
      <c r="AA231" s="74" t="str">
        <f>VLOOKUP(A231,Classification!A:B,2,FALSE)</f>
        <v>A</v>
      </c>
      <c r="AB231" s="23">
        <f>VLOOKUP(A231,'NonXtal_SegEnds_Prot#'!A:AL,10,FALSE)-VLOOKUP(A231,'NonXtal_SegEnds_Prot#'!A:AL,7,FALSE)</f>
        <v>16</v>
      </c>
      <c r="AC231" s="23" t="e">
        <f>VLOOKUP(A231,'NonXtal_SegEnds_Prot#'!A:AL,13,FALSE)-VLOOKUP(A231,'NonXtal_SegEnds_Prot#'!A:AL,10,FALSE)</f>
        <v>#VALUE!</v>
      </c>
      <c r="AD231" s="23">
        <f>VLOOKUP(A231,'NonXtal_SegEnds_Prot#'!A:AL,16,FALSE)-VLOOKUP(A231,'NonXtal_SegEnds_Prot#'!A:AL,10,FALSE)</f>
        <v>51</v>
      </c>
      <c r="AE231" s="23" t="e">
        <f>VLOOKUP(A231,'NonXtal_SegEnds_Prot#'!A:AL,28,FALSE)-VLOOKUP(A231,'NonXtal_SegEnds_Prot#'!A:AL,25,FALSE)</f>
        <v>#VALUE!</v>
      </c>
      <c r="AF231" s="23">
        <f>VLOOKUP(A231,'NonXtal_SegEnds_Prot#'!A:AL,31,FALSE)-VLOOKUP(A231,'NonXtal_SegEnds_Prot#'!A:AL,28,FALSE)</f>
        <v>72</v>
      </c>
      <c r="AG231" s="23">
        <f>VLOOKUP(A231,'NonXtal_SegEnds_Prot#'!A:AL,34,FALSE)-VLOOKUP(A231,'NonXtal_SegEnds_Prot#'!A:AL,31,FALSE)</f>
        <v>36</v>
      </c>
    </row>
    <row r="232" spans="1:33" x14ac:dyDescent="0.25">
      <c r="A232" s="1" t="s">
        <v>440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5">
      <c r="A233" s="1" t="s">
        <v>457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5">
      <c r="A234" s="1" t="s">
        <v>460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5">
      <c r="A235" s="1" t="s">
        <v>387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5">
      <c r="A236" s="1" t="s">
        <v>1109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5">
      <c r="A237" s="1" t="s">
        <v>452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5">
      <c r="A238" s="1" t="s">
        <v>458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5">
      <c r="A239" s="1" t="s">
        <v>393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5">
      <c r="A240" s="1" t="s">
        <v>418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5">
      <c r="A241" s="1" t="s">
        <v>319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5">
      <c r="A242" s="1" t="s">
        <v>537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5">
      <c r="A243" s="1" t="s">
        <v>587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5">
      <c r="A244" s="1" t="s">
        <v>590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5">
      <c r="A245" s="1" t="s">
        <v>383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5">
      <c r="A246" s="1" t="s">
        <v>456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5">
      <c r="A247" s="1" t="s">
        <v>329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5">
      <c r="A248" s="1" t="s">
        <v>1394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5">
      <c r="A249" s="1" t="s">
        <v>420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591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1107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1393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328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557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330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345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295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325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346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523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421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554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347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463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326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318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438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322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7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360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00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74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441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323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414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324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401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459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474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385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321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7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521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473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350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339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348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384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349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340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386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342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405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471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343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341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1105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80" customFormat="1" x14ac:dyDescent="0.2">
      <c r="A296" s="80" t="s">
        <v>594</v>
      </c>
      <c r="B296" s="80" t="str">
        <f>VLOOKUP(A296,Xtal_Templ!A:B,2,FALSE)</f>
        <v>crfr1_human</v>
      </c>
      <c r="C296" s="82">
        <f>VLOOKUP($B296&amp;"__wt",'Xtal_SegEnds_BW#'!$A:$Z,3,FALSE)</f>
        <v>19</v>
      </c>
      <c r="D296" s="80">
        <f>VLOOKUP($B296&amp;"__wt",'Xtal_SegEnds_BW#'!$A:$Z,4,FALSE)</f>
        <v>60</v>
      </c>
      <c r="E296" s="80">
        <f>VLOOKUP($B296&amp;"__wt",'Xtal_SegEnds_BW#'!$A:$Z,5,FALSE)</f>
        <v>48</v>
      </c>
      <c r="F296" s="80">
        <f>VLOOKUP($B296&amp;"__wt",'Xtal_SegEnds_BW#'!$A:$Z,6,FALSE)</f>
        <v>51</v>
      </c>
      <c r="G296" s="80">
        <v>37</v>
      </c>
      <c r="H296" s="80">
        <v>63</v>
      </c>
      <c r="I296" s="80" t="str">
        <f>VLOOKUP($B296&amp;"__wt",'Xtal_SegEnds_BW#'!$A:$Z,9,FALSE)</f>
        <v>-</v>
      </c>
      <c r="J296" s="80" t="str">
        <f>VLOOKUP($B296&amp;"__wt",'Xtal_SegEnds_BW#'!$A:$Z,10,FALSE)</f>
        <v>-</v>
      </c>
      <c r="K296" s="80">
        <v>23</v>
      </c>
      <c r="L296" s="80">
        <f>VLOOKUP($B296&amp;"__wt",'Xtal_SegEnds_BW#'!$A:$Z,12,FALSE)</f>
        <v>56</v>
      </c>
      <c r="M296" s="80" t="str">
        <f>VLOOKUP($B296&amp;"__wt",'Xtal_SegEnds_BW#'!$A:$Z,13,FALSE)</f>
        <v>-</v>
      </c>
      <c r="N296" s="80" t="str">
        <f>VLOOKUP($B296&amp;"__wt",'Xtal_SegEnds_BW#'!$A:$Z,14,FALSE)</f>
        <v>-</v>
      </c>
      <c r="O296" s="80">
        <f>VLOOKUP($B296&amp;"__wt",'Xtal_SegEnds_BW#'!$A:$Z,15,FALSE)</f>
        <v>40</v>
      </c>
      <c r="P296" s="80">
        <f>VLOOKUP($B296&amp;"__wt",'Xtal_SegEnds_BW#'!$A:$Z,16,FALSE)</f>
        <v>68</v>
      </c>
      <c r="Q296" s="80">
        <f>VLOOKUP($B296&amp;"__wt",'Xtal_SegEnds_BW#'!$A:$Z,17,FALSE)</f>
        <v>50</v>
      </c>
      <c r="R296" s="80">
        <f>VLOOKUP($B296&amp;"__wt",'Xtal_SegEnds_BW#'!$A:$Z,18,FALSE)</f>
        <v>52</v>
      </c>
      <c r="S296" s="80">
        <v>36</v>
      </c>
      <c r="T296" s="81">
        <f>VLOOKUP($B296&amp;"__wt",'Xtal_SegEnds_BW#'!$A:$Z,20,FALSE)</f>
        <v>69</v>
      </c>
      <c r="U296" s="80">
        <f>VLOOKUP($B296&amp;"__wt",'Xtal_SegEnds_BW#'!$A:$Z,21,FALSE)</f>
        <v>25</v>
      </c>
      <c r="V296" s="80">
        <f>VLOOKUP($B296&amp;"__wt",'Xtal_SegEnds_BW#'!$A:$Z,22,FALSE)</f>
        <v>53</v>
      </c>
      <c r="W296" s="80">
        <v>30</v>
      </c>
      <c r="X296" s="80">
        <f>VLOOKUP($B296&amp;"__wt",'Xtal_SegEnds_BW#'!$A:$Z,24,FALSE)</f>
        <v>56</v>
      </c>
      <c r="Y296" s="80">
        <f>VLOOKUP($B296&amp;"__wt",'Xtal_SegEnds_BW#'!$A:$Z,25,FALSE)</f>
        <v>47</v>
      </c>
      <c r="Z296" s="80">
        <f>VLOOKUP($B296&amp;"__wt",'Xtal_SegEnds_BW#'!$A:$Z,26,FALSE)</f>
        <v>72</v>
      </c>
      <c r="AA296" s="83" t="str">
        <f>VLOOKUP(A296,Classification!A:B,2,FALSE)</f>
        <v>B1</v>
      </c>
      <c r="AB296" s="80">
        <f>VLOOKUP(A296,'NonXtal_SegEnds_Prot#'!A:AL,10,FALSE)-VLOOKUP(A296,'NonXtal_SegEnds_Prot#'!A:AL,7,FALSE)</f>
        <v>15</v>
      </c>
      <c r="AC296" s="80" t="e">
        <f>VLOOKUP(A296,'NonXtal_SegEnds_Prot#'!A:AL,13,FALSE)-VLOOKUP(A296,'NonXtal_SegEnds_Prot#'!A:AL,10,FALSE)</f>
        <v>#VALUE!</v>
      </c>
      <c r="AD296" s="80">
        <f>VLOOKUP(A296,'NonXtal_SegEnds_Prot#'!A:AL,16,FALSE)-VLOOKUP(A296,'NonXtal_SegEnds_Prot#'!A:AL,10,FALSE)</f>
        <v>53</v>
      </c>
      <c r="AE296" s="80">
        <f>VLOOKUP(A296,'NonXtal_SegEnds_Prot#'!A:AL,28,FALSE)-VLOOKUP(A296,'NonXtal_SegEnds_Prot#'!A:AL,25,FALSE)</f>
        <v>19</v>
      </c>
      <c r="AF296" s="80">
        <f>VLOOKUP(A296,'NonXtal_SegEnds_Prot#'!A:AL,31,FALSE)-VLOOKUP(A296,'NonXtal_SegEnds_Prot#'!A:AL,28,FALSE)</f>
        <v>50</v>
      </c>
      <c r="AG296" s="80">
        <f>VLOOKUP(A296,'NonXtal_SegEnds_Prot#'!A:AL,34,FALSE)-VLOOKUP(A296,'NonXtal_SegEnds_Prot#'!A:AL,31,FALSE)</f>
        <v>30</v>
      </c>
    </row>
    <row r="297" spans="1:33" x14ac:dyDescent="0.2">
      <c r="A297" s="1" t="s">
        <v>595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596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598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599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600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597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601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604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605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606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602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84" customFormat="1" x14ac:dyDescent="0.2">
      <c r="A310" s="84" t="s">
        <v>603</v>
      </c>
      <c r="B310" s="84" t="str">
        <f>VLOOKUP(A310,Xtal_Templ!A:B,2,FALSE)</f>
        <v>glr_human</v>
      </c>
      <c r="C310" s="85">
        <f>VLOOKUP($B310&amp;"__wt",'Xtal_SegEnds_BW#'!$A:$Z,3,FALSE)</f>
        <v>19</v>
      </c>
      <c r="D310" s="84">
        <f>VLOOKUP($B310&amp;"__wt",'Xtal_SegEnds_BW#'!$A:$Z,4,FALSE)</f>
        <v>60</v>
      </c>
      <c r="E310" s="84">
        <f>VLOOKUP($B310&amp;"__wt",'Xtal_SegEnds_BW#'!$A:$Z,5,FALSE)</f>
        <v>48</v>
      </c>
      <c r="F310" s="84">
        <f>VLOOKUP($B310&amp;"__wt",'Xtal_SegEnds_BW#'!$A:$Z,6,FALSE)</f>
        <v>51</v>
      </c>
      <c r="G310" s="84">
        <v>37</v>
      </c>
      <c r="H310" s="84">
        <v>65</v>
      </c>
      <c r="I310" s="84" t="str">
        <f>VLOOKUP($B310&amp;"__wt",'Xtal_SegEnds_BW#'!$A:$Z,9,FALSE)</f>
        <v>-</v>
      </c>
      <c r="J310" s="84" t="str">
        <f>VLOOKUP($B310&amp;"__wt",'Xtal_SegEnds_BW#'!$A:$Z,10,FALSE)</f>
        <v>-</v>
      </c>
      <c r="K310" s="84">
        <v>18</v>
      </c>
      <c r="L310" s="84">
        <f>VLOOKUP($B310&amp;"__wt",'Xtal_SegEnds_BW#'!$A:$Z,12,FALSE)</f>
        <v>56</v>
      </c>
      <c r="M310" s="84" t="str">
        <f>VLOOKUP($B310&amp;"__wt",'Xtal_SegEnds_BW#'!$A:$Z,13,FALSE)</f>
        <v>-</v>
      </c>
      <c r="N310" s="84" t="str">
        <f>VLOOKUP($B310&amp;"__wt",'Xtal_SegEnds_BW#'!$A:$Z,14,FALSE)</f>
        <v>-</v>
      </c>
      <c r="O310" s="84">
        <f>VLOOKUP($B310&amp;"__wt",'Xtal_SegEnds_BW#'!$A:$Z,15,FALSE)</f>
        <v>40</v>
      </c>
      <c r="P310" s="84">
        <f>VLOOKUP($B310&amp;"__wt",'Xtal_SegEnds_BW#'!$A:$Z,16,FALSE)</f>
        <v>68</v>
      </c>
      <c r="Q310" s="84">
        <f>VLOOKUP($B310&amp;"__wt",'Xtal_SegEnds_BW#'!$A:$Z,17,FALSE)</f>
        <v>50</v>
      </c>
      <c r="R310" s="84">
        <f>VLOOKUP($B310&amp;"__wt",'Xtal_SegEnds_BW#'!$A:$Z,18,FALSE)</f>
        <v>52</v>
      </c>
      <c r="S310" s="84">
        <v>36</v>
      </c>
      <c r="T310" s="86">
        <v>69</v>
      </c>
      <c r="U310" s="84">
        <v>25</v>
      </c>
      <c r="V310" s="84">
        <f>VLOOKUP($B310&amp;"__wt",'Xtal_SegEnds_BW#'!$A:$Z,22,FALSE)</f>
        <v>53</v>
      </c>
      <c r="W310" s="84">
        <v>27</v>
      </c>
      <c r="X310" s="84">
        <f>VLOOKUP($B310&amp;"__wt",'Xtal_SegEnds_BW#'!$A:$Z,24,FALSE)</f>
        <v>56</v>
      </c>
      <c r="Y310" s="84">
        <f>VLOOKUP($B310&amp;"__wt",'Xtal_SegEnds_BW#'!$A:$Z,25,FALSE)</f>
        <v>47</v>
      </c>
      <c r="Z310" s="84">
        <f>VLOOKUP($B310&amp;"__wt",'Xtal_SegEnds_BW#'!$A:$Z,26,FALSE)</f>
        <v>72</v>
      </c>
      <c r="AA310" s="87" t="str">
        <f>VLOOKUP(A310,Classification!A:B,2,FALSE)</f>
        <v>B1</v>
      </c>
      <c r="AB310" s="84">
        <f>VLOOKUP(A310,'NonXtal_SegEnds_Prot#'!A:AL,10,FALSE)-VLOOKUP(A310,'NonXtal_SegEnds_Prot#'!A:AL,7,FALSE)</f>
        <v>15</v>
      </c>
      <c r="AC310" s="84" t="e">
        <f>VLOOKUP(A310,'NonXtal_SegEnds_Prot#'!A:AL,13,FALSE)-VLOOKUP(A310,'NonXtal_SegEnds_Prot#'!A:AL,10,FALSE)</f>
        <v>#VALUE!</v>
      </c>
      <c r="AD310" s="84">
        <f>VLOOKUP(A310,'NonXtal_SegEnds_Prot#'!A:AL,16,FALSE)-VLOOKUP(A310,'NonXtal_SegEnds_Prot#'!A:AL,10,FALSE)</f>
        <v>74</v>
      </c>
      <c r="AE310" s="84">
        <f>VLOOKUP(A310,'NonXtal_SegEnds_Prot#'!A:AL,28,FALSE)-VLOOKUP(A310,'NonXtal_SegEnds_Prot#'!A:AL,25,FALSE)</f>
        <v>19</v>
      </c>
      <c r="AF310" s="84">
        <f>VLOOKUP(A310,'NonXtal_SegEnds_Prot#'!A:AL,31,FALSE)-VLOOKUP(A310,'NonXtal_SegEnds_Prot#'!A:AL,28,FALSE)</f>
        <v>53</v>
      </c>
      <c r="AG310" s="84">
        <f>VLOOKUP(A310,'NonXtal_SegEnds_Prot#'!A:AL,34,FALSE)-VLOOKUP(A310,'NonXtal_SegEnds_Prot#'!A:AL,31,FALSE)</f>
        <v>32</v>
      </c>
    </row>
    <row r="311" spans="1:33" x14ac:dyDescent="0.2">
      <c r="A311" s="1" t="s">
        <v>1411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613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611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612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1415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636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1414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607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1412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1416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629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1417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610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1413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1407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1401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1398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1399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1397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1395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1396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80" customFormat="1" x14ac:dyDescent="0.2">
      <c r="A344" s="80" t="s">
        <v>307</v>
      </c>
      <c r="B344" s="80" t="str">
        <f>VLOOKUP(A344,Xtal_Templ!A:B,2,FALSE)</f>
        <v>grm1_human</v>
      </c>
      <c r="C344" s="82">
        <f>VLOOKUP($B344&amp;"__wt",'Xtal_SegEnds_BW#'!$A:$Z,3,FALSE)</f>
        <v>34</v>
      </c>
      <c r="D344" s="80">
        <f>VLOOKUP($B344&amp;"__wt",'Xtal_SegEnds_BW#'!$A:$Z,4,FALSE)</f>
        <v>60</v>
      </c>
      <c r="E344" s="80">
        <f>VLOOKUP($B344&amp;"__wt",'Xtal_SegEnds_BW#'!$A:$Z,5,FALSE)</f>
        <v>47</v>
      </c>
      <c r="F344" s="80">
        <f>VLOOKUP($B344&amp;"__wt",'Xtal_SegEnds_BW#'!$A:$Z,6,FALSE)</f>
        <v>53</v>
      </c>
      <c r="G344" s="80">
        <v>39</v>
      </c>
      <c r="H344" s="80">
        <f>VLOOKUP($B344&amp;"__wt",'Xtal_SegEnds_BW#'!$A:$Z,8,FALSE)</f>
        <v>61</v>
      </c>
      <c r="I344" s="80" t="str">
        <f>VLOOKUP($B344&amp;"__wt",'Xtal_SegEnds_BW#'!$A:$Z,9,FALSE)</f>
        <v>-</v>
      </c>
      <c r="J344" s="80" t="str">
        <f>VLOOKUP($B344&amp;"__wt",'Xtal_SegEnds_BW#'!$A:$Z,10,FALSE)</f>
        <v>-</v>
      </c>
      <c r="K344" s="80">
        <f>VLOOKUP($B344&amp;"__wt",'Xtal_SegEnds_BW#'!$A:$Z,11,FALSE)</f>
        <v>22</v>
      </c>
      <c r="L344" s="80">
        <f>VLOOKUP($B344&amp;"__wt",'Xtal_SegEnds_BW#'!$A:$Z,12,FALSE)</f>
        <v>54</v>
      </c>
      <c r="M344" s="80" t="str">
        <f>VLOOKUP($B344&amp;"__wt",'Xtal_SegEnds_BW#'!$A:$Z,13,FALSE)</f>
        <v>-</v>
      </c>
      <c r="N344" s="80" t="str">
        <f>VLOOKUP($B344&amp;"__wt",'Xtal_SegEnds_BW#'!$A:$Z,14,FALSE)</f>
        <v>-</v>
      </c>
      <c r="O344" s="80">
        <f>VLOOKUP($B344&amp;"__wt",'Xtal_SegEnds_BW#'!$A:$Z,15,FALSE)</f>
        <v>39</v>
      </c>
      <c r="P344" s="80">
        <f>VLOOKUP($B344&amp;"__wt",'Xtal_SegEnds_BW#'!$A:$Z,16,FALSE)</f>
        <v>64</v>
      </c>
      <c r="Q344" s="80">
        <f>VLOOKUP($B344&amp;"__wt",'Xtal_SegEnds_BW#'!$A:$Z,17,FALSE)</f>
        <v>50</v>
      </c>
      <c r="R344" s="80">
        <f>VLOOKUP($B344&amp;"__wt",'Xtal_SegEnds_BW#'!$A:$Z,18,FALSE)</f>
        <v>52</v>
      </c>
      <c r="S344" s="80">
        <f>VLOOKUP($B344&amp;"__wt",'Xtal_SegEnds_BW#'!$A:$Z,19,FALSE)</f>
        <v>37</v>
      </c>
      <c r="T344" s="81">
        <f>VLOOKUP($B344&amp;"__wt",'Xtal_SegEnds_BW#'!$A:$Z,20,FALSE)</f>
        <v>61</v>
      </c>
      <c r="U344" s="80">
        <f>VLOOKUP($B344&amp;"__wt",'Xtal_SegEnds_BW#'!$A:$Z,21,FALSE)</f>
        <v>33</v>
      </c>
      <c r="V344" s="80">
        <f>VLOOKUP($B344&amp;"__wt",'Xtal_SegEnds_BW#'!$A:$Z,22,FALSE)</f>
        <v>57</v>
      </c>
      <c r="W344" s="80">
        <f>VLOOKUP($B344&amp;"__wt",'Xtal_SegEnds_BW#'!$A:$Z,23,FALSE)</f>
        <v>34</v>
      </c>
      <c r="X344" s="80">
        <f>VLOOKUP($B344&amp;"__wt",'Xtal_SegEnds_BW#'!$A:$Z,24,FALSE)</f>
        <v>63</v>
      </c>
      <c r="Y344" s="80">
        <f>VLOOKUP($B344&amp;"__wt",'Xtal_SegEnds_BW#'!$A:$Z,25,FALSE)</f>
        <v>47</v>
      </c>
      <c r="Z344" s="80">
        <f>VLOOKUP($B344&amp;"__wt",'Xtal_SegEnds_BW#'!$A:$Z,26,FALSE)</f>
        <v>59</v>
      </c>
      <c r="AA344" s="83" t="str">
        <f>VLOOKUP(A344,Classification!A:B,2,FALSE)</f>
        <v>C</v>
      </c>
      <c r="AB344" s="80">
        <f>VLOOKUP(A344,'NonXtal_SegEnds_Prot#'!A:AL,10,FALSE)-VLOOKUP(A344,'NonXtal_SegEnds_Prot#'!A:AL,7,FALSE)</f>
        <v>16</v>
      </c>
      <c r="AC344" s="80" t="e">
        <f>VLOOKUP(A344,'NonXtal_SegEnds_Prot#'!A:AL,13,FALSE)-VLOOKUP(A344,'NonXtal_SegEnds_Prot#'!A:AL,10,FALSE)</f>
        <v>#VALUE!</v>
      </c>
      <c r="AD344" s="80">
        <f>VLOOKUP(A344,'NonXtal_SegEnds_Prot#'!A:AL,16,FALSE)-VLOOKUP(A344,'NonXtal_SegEnds_Prot#'!A:AL,10,FALSE)</f>
        <v>44</v>
      </c>
      <c r="AE344" s="80">
        <f>VLOOKUP(A344,'NonXtal_SegEnds_Prot#'!A:AL,28,FALSE)-VLOOKUP(A344,'NonXtal_SegEnds_Prot#'!A:AL,25,FALSE)</f>
        <v>18</v>
      </c>
      <c r="AF344" s="80">
        <f>VLOOKUP(A344,'NonXtal_SegEnds_Prot#'!A:AL,31,FALSE)-VLOOKUP(A344,'NonXtal_SegEnds_Prot#'!A:AL,28,FALSE)</f>
        <v>35</v>
      </c>
      <c r="AG344" s="80">
        <f>VLOOKUP(A344,'NonXtal_SegEnds_Prot#'!A:AL,34,FALSE)-VLOOKUP(A344,'NonXtal_SegEnds_Prot#'!A:AL,31,FALSE)</f>
        <v>29</v>
      </c>
    </row>
    <row r="345" spans="1:33" x14ac:dyDescent="0.2">
      <c r="A345" s="1" t="s">
        <v>298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302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303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308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309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310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311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312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313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315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316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317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299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300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301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304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305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306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314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640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78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641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78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642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78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643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78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644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645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78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646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78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647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78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649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78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648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78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78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676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679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680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678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675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653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652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650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651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654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656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657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658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659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660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662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663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664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665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666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668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670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671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672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673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674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tabSelected="1" zoomScale="120" zoomScaleNormal="120" zoomScalePageLayoutView="120" workbookViewId="0">
      <pane ySplit="1" topLeftCell="A217" activePane="bottomLeft" state="frozenSplit"/>
      <selection pane="bottomLeft" activeCell="I226" sqref="I226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73" t="s">
        <v>1422</v>
      </c>
      <c r="C1" s="11" t="s">
        <v>1266</v>
      </c>
      <c r="D1" s="79" t="s">
        <v>1287</v>
      </c>
      <c r="E1" s="11" t="s">
        <v>1267</v>
      </c>
      <c r="F1" s="79" t="s">
        <v>1283</v>
      </c>
      <c r="G1" s="79" t="s">
        <v>1288</v>
      </c>
      <c r="H1" s="79" t="s">
        <v>1284</v>
      </c>
      <c r="I1" s="79" t="s">
        <v>1268</v>
      </c>
      <c r="J1" s="79" t="s">
        <v>1289</v>
      </c>
      <c r="K1" s="11" t="s">
        <v>1269</v>
      </c>
      <c r="L1" s="11" t="s">
        <v>1285</v>
      </c>
      <c r="M1" s="79" t="s">
        <v>1290</v>
      </c>
      <c r="N1" s="11" t="s">
        <v>1286</v>
      </c>
      <c r="O1" s="11" t="s">
        <v>1270</v>
      </c>
      <c r="P1" s="79" t="s">
        <v>1291</v>
      </c>
      <c r="Q1" s="11" t="s">
        <v>1271</v>
      </c>
      <c r="R1" s="11" t="s">
        <v>1298</v>
      </c>
      <c r="S1" s="79" t="s">
        <v>1297</v>
      </c>
      <c r="T1" s="11" t="s">
        <v>1299</v>
      </c>
      <c r="U1" s="11" t="s">
        <v>1272</v>
      </c>
      <c r="V1" s="79" t="s">
        <v>1292</v>
      </c>
      <c r="W1" s="11" t="s">
        <v>1273</v>
      </c>
      <c r="X1" s="11" t="s">
        <v>1301</v>
      </c>
      <c r="Y1" s="79" t="s">
        <v>1300</v>
      </c>
      <c r="Z1" s="11" t="s">
        <v>1302</v>
      </c>
      <c r="AA1" s="11" t="s">
        <v>1274</v>
      </c>
      <c r="AB1" s="79" t="s">
        <v>1293</v>
      </c>
      <c r="AC1" s="11" t="s">
        <v>1275</v>
      </c>
      <c r="AD1" s="11" t="s">
        <v>1276</v>
      </c>
      <c r="AE1" s="79" t="s">
        <v>1294</v>
      </c>
      <c r="AF1" s="11" t="s">
        <v>1277</v>
      </c>
      <c r="AG1" s="11" t="s">
        <v>1278</v>
      </c>
      <c r="AH1" s="79" t="s">
        <v>1295</v>
      </c>
      <c r="AI1" s="11" t="s">
        <v>1279</v>
      </c>
      <c r="AJ1" s="11" t="s">
        <v>1280</v>
      </c>
      <c r="AK1" s="79" t="s">
        <v>1296</v>
      </c>
      <c r="AL1" s="11" t="s">
        <v>1281</v>
      </c>
      <c r="AM1" s="62" t="s">
        <v>291</v>
      </c>
      <c r="AN1" s="62" t="s">
        <v>1385</v>
      </c>
      <c r="AO1" s="11" t="s">
        <v>1449</v>
      </c>
      <c r="AP1" s="11" t="s">
        <v>1450</v>
      </c>
      <c r="AQ1" s="11" t="s">
        <v>1451</v>
      </c>
      <c r="AR1" s="11" t="s">
        <v>1452</v>
      </c>
      <c r="AS1" s="11" t="s">
        <v>1453</v>
      </c>
      <c r="AT1" s="11" t="s">
        <v>1454</v>
      </c>
      <c r="AU1" s="11" t="s">
        <v>1455</v>
      </c>
      <c r="AV1" s="11" t="s">
        <v>1456</v>
      </c>
      <c r="AW1" s="11" t="s">
        <v>1457</v>
      </c>
      <c r="AX1" s="11" t="s">
        <v>1458</v>
      </c>
      <c r="AY1" s="11" t="s">
        <v>1459</v>
      </c>
      <c r="AZ1" s="11" t="s">
        <v>1531</v>
      </c>
      <c r="BA1" s="62" t="s">
        <v>1461</v>
      </c>
      <c r="BB1" s="11" t="s">
        <v>1501</v>
      </c>
      <c r="BC1" s="11" t="s">
        <v>1461</v>
      </c>
      <c r="BD1" s="11" t="s">
        <v>1463</v>
      </c>
      <c r="BE1" s="11" t="s">
        <v>1460</v>
      </c>
      <c r="BF1" s="11" t="s">
        <v>1532</v>
      </c>
    </row>
    <row r="2" spans="1:58" s="3" customFormat="1" x14ac:dyDescent="0.2">
      <c r="A2" s="3" t="s">
        <v>413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64" t="str">
        <f>VLOOKUP(A2,Classification!A:B,2,FALSE)</f>
        <v>A</v>
      </c>
      <c r="AN2" s="64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666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64" t="str">
        <f>VLOOKUP(A3,Classification!A:B,2,FALSE)</f>
        <v>T</v>
      </c>
      <c r="AN3" s="64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330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64" t="str">
        <f>VLOOKUP(A4,Classification!A:B,2,FALSE)</f>
        <v>A</v>
      </c>
      <c r="AN4" s="64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458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64" t="str">
        <f>VLOOKUP(A5,Classification!A:B,2,FALSE)</f>
        <v>A</v>
      </c>
      <c r="AN5" s="64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350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64" t="str">
        <f>VLOOKUP(A6,Classification!A:B,2,FALSE)</f>
        <v>A</v>
      </c>
      <c r="AN6" s="64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581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64" t="str">
        <f>VLOOKUP(A7,Classification!A:B,2,FALSE)</f>
        <v>A</v>
      </c>
      <c r="AN7" s="64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64" t="str">
        <f>VLOOKUP(A8,Classification!A:B,2,FALSE)</f>
        <v>A</v>
      </c>
      <c r="AN8" s="64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328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64" t="str">
        <f>VLOOKUP(A9,Classification!A:B,2,FALSE)</f>
        <v>A</v>
      </c>
      <c r="AN9" s="64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583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64" t="str">
        <f>VLOOKUP(A10,Classification!A:B,2,FALSE)</f>
        <v>A</v>
      </c>
      <c r="AN10" s="64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584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64" t="str">
        <f>VLOOKUP(A11,Classification!A:B,2,FALSE)</f>
        <v>A</v>
      </c>
      <c r="AN11" s="64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586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64" t="str">
        <f>VLOOKUP(A12,Classification!A:B,2,FALSE)</f>
        <v>A</v>
      </c>
      <c r="AN12" s="64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582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64" t="str">
        <f>VLOOKUP(A13,Classification!A:B,2,FALSE)</f>
        <v>A</v>
      </c>
      <c r="AN13" s="64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585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64" t="str">
        <f>VLOOKUP(A14,Classification!A:B,2,FALSE)</f>
        <v>A</v>
      </c>
      <c r="AN14" s="64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322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64" t="str">
        <f>VLOOKUP(A15,Classification!A:B,2,FALSE)</f>
        <v>A</v>
      </c>
      <c r="AN15" s="64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348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64" t="str">
        <f>VLOOKUP(A16,Classification!A:B,2,FALSE)</f>
        <v>A</v>
      </c>
      <c r="AN16" s="64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321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64" t="str">
        <f>VLOOKUP(A17,Classification!A:B,2,FALSE)</f>
        <v>A</v>
      </c>
      <c r="AN17" s="64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420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64" t="str">
        <f>VLOOKUP(A18,Classification!A:B,2,FALSE)</f>
        <v>A</v>
      </c>
      <c r="AN18" s="64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345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64" t="str">
        <f>VLOOKUP(A19,Classification!A:B,2,FALSE)</f>
        <v>A</v>
      </c>
      <c r="AN19" s="64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323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64" t="str">
        <f>VLOOKUP(A20,Classification!A:B,2,FALSE)</f>
        <v>A</v>
      </c>
      <c r="AN20" s="64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324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64" t="str">
        <f>VLOOKUP(A21,Classification!A:B,2,FALSE)</f>
        <v>A</v>
      </c>
      <c r="AN21" s="64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651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64" t="str">
        <f>VLOOKUP(A22,Classification!A:B,2,FALSE)</f>
        <v>T</v>
      </c>
      <c r="AN22" s="64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325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64" t="str">
        <f>VLOOKUP(A23,Classification!A:B,2,FALSE)</f>
        <v>A</v>
      </c>
      <c r="AN23" s="64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64" t="str">
        <f>VLOOKUP(A24,Classification!A:B,2,FALSE)</f>
        <v>A</v>
      </c>
      <c r="AN24" s="64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326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64" t="str">
        <f>VLOOKUP(A25,Classification!A:B,2,FALSE)</f>
        <v>A</v>
      </c>
      <c r="AN25" s="64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423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64" t="str">
        <f>VLOOKUP(A26,Classification!A:B,2,FALSE)</f>
        <v>A</v>
      </c>
      <c r="AN26" s="64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464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64" t="str">
        <f>VLOOKUP(A27,Classification!A:B,2,FALSE)</f>
        <v>A</v>
      </c>
      <c r="AN27" s="64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441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64" t="str">
        <f>VLOOKUP(A28,Classification!A:B,2,FALSE)</f>
        <v>A</v>
      </c>
      <c r="AN28" s="64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491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64" t="str">
        <f>VLOOKUP(A29,Classification!A:B,2,FALSE)</f>
        <v>A</v>
      </c>
      <c r="AN29" s="64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477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64" t="str">
        <f>VLOOKUP(A30,Classification!A:B,2,FALSE)</f>
        <v>A</v>
      </c>
      <c r="AN30" s="64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588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64" t="str">
        <f>VLOOKUP(A31,Classification!A:B,2,FALSE)</f>
        <v>A</v>
      </c>
      <c r="AN31" s="64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397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64" t="str">
        <f>VLOOKUP(A32,Classification!A:B,2,FALSE)</f>
        <v>A</v>
      </c>
      <c r="AN32" s="64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484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64" t="str">
        <f>VLOOKUP(A33,Classification!A:B,2,FALSE)</f>
        <v>A</v>
      </c>
      <c r="AN33" s="64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554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64" t="str">
        <f>VLOOKUP(A34,Classification!A:B,2,FALSE)</f>
        <v>A</v>
      </c>
      <c r="AN34" s="64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333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64" t="str">
        <f>VLOOKUP(A35,Classification!A:B,2,FALSE)</f>
        <v>A</v>
      </c>
      <c r="AN35" s="64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331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64" t="str">
        <f>VLOOKUP(A36,Classification!A:B,2,FALSE)</f>
        <v>A</v>
      </c>
      <c r="AN36" s="64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332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64" t="str">
        <f>VLOOKUP(A37,Classification!A:B,2,FALSE)</f>
        <v>A</v>
      </c>
      <c r="AN37" s="64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334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64" t="str">
        <f>VLOOKUP(A38,Classification!A:B,2,FALSE)</f>
        <v>A</v>
      </c>
      <c r="AN38" s="64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473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64" t="str">
        <f>VLOOKUP(A39,Classification!A:B,2,FALSE)</f>
        <v>A</v>
      </c>
      <c r="AN39" s="64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339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64" t="str">
        <f>VLOOKUP(A40,Classification!A:B,2,FALSE)</f>
        <v>A</v>
      </c>
      <c r="AN40" s="64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428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64" t="str">
        <f>VLOOKUP(A41,Classification!A:B,2,FALSE)</f>
        <v>A</v>
      </c>
      <c r="AN41" s="64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670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64" t="str">
        <f>VLOOKUP(A42,Classification!A:B,2,FALSE)</f>
        <v>T</v>
      </c>
      <c r="AN42" s="64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340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64" t="str">
        <f>VLOOKUP(A43,Classification!A:B,2,FALSE)</f>
        <v>A</v>
      </c>
      <c r="AN43" s="64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5">
      <c r="A44" s="3" t="s">
        <v>659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64" t="str">
        <f>VLOOKUP(A44,Classification!A:B,2,FALSE)</f>
        <v>T</v>
      </c>
      <c r="AN44" s="64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341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64" t="str">
        <f>VLOOKUP(A45,Classification!A:B,2,FALSE)</f>
        <v>A</v>
      </c>
      <c r="AN45" s="64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1105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64" t="str">
        <f>VLOOKUP(A46,Classification!A:B,2,FALSE)</f>
        <v>A</v>
      </c>
      <c r="AN46" s="64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343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64" t="str">
        <f>VLOOKUP(A47,Classification!A:B,2,FALSE)</f>
        <v>A</v>
      </c>
      <c r="AN47" s="64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474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64" t="str">
        <f>VLOOKUP(A48,Classification!A:B,2,FALSE)</f>
        <v>A</v>
      </c>
      <c r="AN48" s="64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342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64" t="str">
        <f>VLOOKUP(A49,Classification!A:B,2,FALSE)</f>
        <v>A</v>
      </c>
      <c r="AN49" s="64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421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64" t="str">
        <f>VLOOKUP(A50,Classification!A:B,2,FALSE)</f>
        <v>A</v>
      </c>
      <c r="AN50" s="64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569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64" t="str">
        <f>VLOOKUP(A51,Classification!A:B,2,FALSE)</f>
        <v>A</v>
      </c>
      <c r="AN51" s="64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347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64" t="str">
        <f>VLOOKUP(A52,Classification!A:B,2,FALSE)</f>
        <v>A</v>
      </c>
      <c r="AN52" s="64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387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64" t="str">
        <f>VLOOKUP(A53,Classification!A:B,2,FALSE)</f>
        <v>A</v>
      </c>
      <c r="AN53" s="64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318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64" t="str">
        <f>VLOOKUP(A54,Classification!A:B,2,FALSE)</f>
        <v>A</v>
      </c>
      <c r="AN54" s="64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1107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64" t="str">
        <f>VLOOKUP(A55,Classification!A:B,2,FALSE)</f>
        <v>A</v>
      </c>
      <c r="AN55" s="64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295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64" t="str">
        <f>VLOOKUP(A56,Classification!A:B,2,FALSE)</f>
        <v>A</v>
      </c>
      <c r="AN56" s="64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346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64" t="str">
        <f>VLOOKUP(A57,Classification!A:B,2,FALSE)</f>
        <v>A</v>
      </c>
      <c r="AN57" s="64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383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64" t="str">
        <f>VLOOKUP(A58,Classification!A:B,2,FALSE)</f>
        <v>A</v>
      </c>
      <c r="AN58" s="64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327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64" t="str">
        <f>VLOOKUP(A59,Classification!A:B,2,FALSE)</f>
        <v>A</v>
      </c>
      <c r="AN59" s="64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405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64" t="str">
        <f>VLOOKUP(A60,Classification!A:B,2,FALSE)</f>
        <v>A</v>
      </c>
      <c r="AN60" s="64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452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64" t="str">
        <f>VLOOKUP(A61,Classification!A:B,2,FALSE)</f>
        <v>A</v>
      </c>
      <c r="AN61" s="64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580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64" t="str">
        <f>VLOOKUP(A62,Classification!A:B,2,FALSE)</f>
        <v>A</v>
      </c>
      <c r="AN62" s="64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329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64" t="str">
        <f>VLOOKUP(A63,Classification!A:B,2,FALSE)</f>
        <v>A</v>
      </c>
      <c r="AN63" s="64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504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64" t="str">
        <f>VLOOKUP(A64,Classification!A:B,2,FALSE)</f>
        <v>A</v>
      </c>
      <c r="AN64" s="64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472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64" t="str">
        <f>VLOOKUP(A65,Classification!A:B,2,FALSE)</f>
        <v>A</v>
      </c>
      <c r="AN65" s="64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568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64" t="str">
        <f>VLOOKUP(A66,Classification!A:B,2,FALSE)</f>
        <v>A</v>
      </c>
      <c r="AN66" s="64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5">
      <c r="A67" s="3" t="s">
        <v>319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64" t="str">
        <f>VLOOKUP(A67,Classification!A:B,2,FALSE)</f>
        <v>A</v>
      </c>
      <c r="AN67" s="64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497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64" t="str">
        <f>VLOOKUP(A68,Classification!A:B,2,FALSE)</f>
        <v>A</v>
      </c>
      <c r="AN68" s="64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499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64" t="str">
        <f>VLOOKUP(A69,Classification!A:B,2,FALSE)</f>
        <v>A</v>
      </c>
      <c r="AN69" s="64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679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64" t="str">
        <f>VLOOKUP(A70,Classification!A:B,2,FALSE)</f>
        <v>O</v>
      </c>
      <c r="AN70" s="64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654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64" t="str">
        <f>VLOOKUP(A71,Classification!A:B,2,FALSE)</f>
        <v>T</v>
      </c>
      <c r="AN71" s="64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655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64" t="str">
        <f>VLOOKUP(A72,Classification!A:B,2,FALSE)</f>
        <v>T</v>
      </c>
      <c r="AN72" s="64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656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64" t="str">
        <f>VLOOKUP(A73,Classification!A:B,2,FALSE)</f>
        <v>T</v>
      </c>
      <c r="AN73" s="64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657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64" t="str">
        <f>VLOOKUP(A74,Classification!A:B,2,FALSE)</f>
        <v>T</v>
      </c>
      <c r="AN74" s="64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658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64" t="str">
        <f>VLOOKUP(A75,Classification!A:B,2,FALSE)</f>
        <v>T</v>
      </c>
      <c r="AN75" s="64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661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64" t="str">
        <f>VLOOKUP(A76,Classification!A:B,2,FALSE)</f>
        <v>T</v>
      </c>
      <c r="AN76" s="64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662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64" t="str">
        <f>VLOOKUP(A77,Classification!A:B,2,FALSE)</f>
        <v>T</v>
      </c>
      <c r="AN77" s="64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663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64" t="str">
        <f>VLOOKUP(A78,Classification!A:B,2,FALSE)</f>
        <v>T</v>
      </c>
      <c r="AN78" s="64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1125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64" t="str">
        <f>VLOOKUP(A79,Classification!A:B,2,FALSE)</f>
        <v>T</v>
      </c>
      <c r="AN79" s="64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664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64" t="str">
        <f>VLOOKUP(A80,Classification!A:B,2,FALSE)</f>
        <v>T</v>
      </c>
      <c r="AN80" s="64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665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64" t="str">
        <f>VLOOKUP(A81,Classification!A:B,2,FALSE)</f>
        <v>T</v>
      </c>
      <c r="AN81" s="64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669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64" t="str">
        <f>VLOOKUP(A82,Classification!A:B,2,FALSE)</f>
        <v>T</v>
      </c>
      <c r="AN82" s="64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672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64" t="str">
        <f>VLOOKUP(A83,Classification!A:B,2,FALSE)</f>
        <v>T</v>
      </c>
      <c r="AN83" s="64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673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64" t="str">
        <f>VLOOKUP(A84,Classification!A:B,2,FALSE)</f>
        <v>T</v>
      </c>
      <c r="AN84" s="64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674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64" t="str">
        <f>VLOOKUP(A85,Classification!A:B,2,FALSE)</f>
        <v>T</v>
      </c>
      <c r="AN85" s="64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476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64" t="str">
        <f>VLOOKUP(A86,Classification!A:B,2,FALSE)</f>
        <v>A</v>
      </c>
      <c r="AN86" s="64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566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64" t="str">
        <f>VLOOKUP(A87,Classification!A:B,2,FALSE)</f>
        <v>A</v>
      </c>
      <c r="AN87" s="64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355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64" t="str">
        <f>VLOOKUP(A88,Classification!A:B,2,FALSE)</f>
        <v>A</v>
      </c>
      <c r="AN88" s="64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429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64" t="str">
        <f>VLOOKUP(A89,Classification!A:B,2,FALSE)</f>
        <v>A</v>
      </c>
      <c r="AN89" s="64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426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64" t="str">
        <f>VLOOKUP(A90,Classification!A:B,2,FALSE)</f>
        <v>A</v>
      </c>
      <c r="AN90" s="64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337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64" t="str">
        <f>VLOOKUP(A91,Classification!A:B,2,FALSE)</f>
        <v>A</v>
      </c>
      <c r="AN91" s="64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352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64" t="str">
        <f>VLOOKUP(A92,Classification!A:B,2,FALSE)</f>
        <v>A</v>
      </c>
      <c r="AN92" s="64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439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64" t="str">
        <f>VLOOKUP(A93,Classification!A:B,2,FALSE)</f>
        <v>A</v>
      </c>
      <c r="AN93" s="64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567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64" t="str">
        <f>VLOOKUP(A94,Classification!A:B,2,FALSE)</f>
        <v>A</v>
      </c>
      <c r="AN94" s="64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354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64" t="str">
        <f>VLOOKUP(A95,Classification!A:B,2,FALSE)</f>
        <v>A</v>
      </c>
      <c r="AN95" s="64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374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64" t="str">
        <f>VLOOKUP(A96,Classification!A:B,2,FALSE)</f>
        <v>A</v>
      </c>
      <c r="AN96" s="64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358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64" t="str">
        <f>VLOOKUP(A97,Classification!A:B,2,FALSE)</f>
        <v>A</v>
      </c>
      <c r="AN97" s="64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430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64" t="str">
        <f>VLOOKUP(A98,Classification!A:B,2,FALSE)</f>
        <v>A</v>
      </c>
      <c r="AN98" s="64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432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64" t="str">
        <f>VLOOKUP(A99,Classification!A:B,2,FALSE)</f>
        <v>A</v>
      </c>
      <c r="AN99" s="64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353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64" t="str">
        <f>VLOOKUP(A100,Classification!A:B,2,FALSE)</f>
        <v>A</v>
      </c>
      <c r="AN100" s="64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351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64" t="str">
        <f>VLOOKUP(A101,Classification!A:B,2,FALSE)</f>
        <v>A</v>
      </c>
      <c r="AN101" s="64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445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64" t="str">
        <f>VLOOKUP(A102,Classification!A:B,2,FALSE)</f>
        <v>A</v>
      </c>
      <c r="AN102" s="64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524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64" t="str">
        <f>VLOOKUP(A103,Classification!A:B,2,FALSE)</f>
        <v>A</v>
      </c>
      <c r="AN103" s="64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485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64" t="str">
        <f>VLOOKUP(A104,Classification!A:B,2,FALSE)</f>
        <v>A</v>
      </c>
      <c r="AN104" s="64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368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64" t="str">
        <f>VLOOKUP(A105,Classification!A:B,2,FALSE)</f>
        <v>A</v>
      </c>
      <c r="AN105" s="64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370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64" t="str">
        <f>VLOOKUP(A106,Classification!A:B,2,FALSE)</f>
        <v>A</v>
      </c>
      <c r="AN106" s="64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367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64" t="str">
        <f>VLOOKUP(A107,Classification!A:B,2,FALSE)</f>
        <v>A</v>
      </c>
      <c r="AN107" s="64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379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64" t="str">
        <f>VLOOKUP(A108,Classification!A:B,2,FALSE)</f>
        <v>A</v>
      </c>
      <c r="AN108" s="64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335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64" t="str">
        <f>VLOOKUP(A109,Classification!A:B,2,FALSE)</f>
        <v>A</v>
      </c>
      <c r="AN109" s="64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336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64" t="str">
        <f>VLOOKUP(A110,Classification!A:B,2,FALSE)</f>
        <v>A</v>
      </c>
      <c r="AN110" s="64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362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64" t="str">
        <f>VLOOKUP(A111,Classification!A:B,2,FALSE)</f>
        <v>A</v>
      </c>
      <c r="AN111" s="64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363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64" t="str">
        <f>VLOOKUP(A112,Classification!A:B,2,FALSE)</f>
        <v>A</v>
      </c>
      <c r="AN112" s="64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365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64" t="str">
        <f>VLOOKUP(A113,Classification!A:B,2,FALSE)</f>
        <v>A</v>
      </c>
      <c r="AN113" s="64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378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64" t="str">
        <f>VLOOKUP(A114,Classification!A:B,2,FALSE)</f>
        <v>A</v>
      </c>
      <c r="AN114" s="64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338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64" t="str">
        <f>VLOOKUP(A115,Classification!A:B,2,FALSE)</f>
        <v>A</v>
      </c>
      <c r="AN115" s="64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361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64" t="str">
        <f>VLOOKUP(A116,Classification!A:B,2,FALSE)</f>
        <v>A</v>
      </c>
      <c r="AN116" s="64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364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64" t="str">
        <f>VLOOKUP(A117,Classification!A:B,2,FALSE)</f>
        <v>A</v>
      </c>
      <c r="AN117" s="64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369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64" t="str">
        <f>VLOOKUP(A118,Classification!A:B,2,FALSE)</f>
        <v>A</v>
      </c>
      <c r="AN118" s="64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371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64" t="str">
        <f>VLOOKUP(A119,Classification!A:B,2,FALSE)</f>
        <v>A</v>
      </c>
      <c r="AN119" s="64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382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64" t="str">
        <f>VLOOKUP(A120,Classification!A:B,2,FALSE)</f>
        <v>A</v>
      </c>
      <c r="AN120" s="64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366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64" t="str">
        <f>VLOOKUP(A121,Classification!A:B,2,FALSE)</f>
        <v>A</v>
      </c>
      <c r="AN121" s="64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377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64" t="str">
        <f>VLOOKUP(A122,Classification!A:B,2,FALSE)</f>
        <v>A</v>
      </c>
      <c r="AN122" s="64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593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64" t="str">
        <f>VLOOKUP(A123,Classification!A:B,2,FALSE)</f>
        <v>A</v>
      </c>
      <c r="AN123" s="64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636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64" t="str">
        <f>VLOOKUP(A124,Classification!A:B,2,FALSE)</f>
        <v>B2</v>
      </c>
      <c r="AN124" s="64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1414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64" t="str">
        <f>VLOOKUP(A125,Classification!A:B,2,FALSE)</f>
        <v>B2</v>
      </c>
      <c r="AN125" s="64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611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64" t="str">
        <f>VLOOKUP(A126,Classification!A:B,2,FALSE)</f>
        <v>B2</v>
      </c>
      <c r="AN126" s="64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612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64" t="str">
        <f>VLOOKUP(A127,Classification!A:B,2,FALSE)</f>
        <v>B2</v>
      </c>
      <c r="AN127" s="64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1410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64" t="str">
        <f>VLOOKUP(A128,Classification!A:B,2,FALSE)</f>
        <v>B2</v>
      </c>
      <c r="AN128" s="64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607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64" t="str">
        <f>VLOOKUP(A129,Classification!A:B,2,FALSE)</f>
        <v>B2</v>
      </c>
      <c r="AN129" s="64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1398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64" t="str">
        <f>VLOOKUP(A130,Classification!A:B,2,FALSE)</f>
        <v>B2</v>
      </c>
      <c r="AN130" s="64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1399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64" t="str">
        <f>VLOOKUP(A131,Classification!A:B,2,FALSE)</f>
        <v>B2</v>
      </c>
      <c r="AN131" s="64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629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64" t="str">
        <f>VLOOKUP(A132,Classification!A:B,2,FALSE)</f>
        <v>B2</v>
      </c>
      <c r="AN132" s="64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1419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64" t="str">
        <f>VLOOKUP(A133,Classification!A:B,2,FALSE)</f>
        <v>B2</v>
      </c>
      <c r="AN133" s="64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1417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64" t="str">
        <f>VLOOKUP(A134,Classification!A:B,2,FALSE)</f>
        <v>B2</v>
      </c>
      <c r="AN134" s="64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1418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64" t="str">
        <f>VLOOKUP(A135,Classification!A:B,2,FALSE)</f>
        <v>B2</v>
      </c>
      <c r="AN135" s="64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1396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64" t="str">
        <f>VLOOKUP(A136,Classification!A:B,2,FALSE)</f>
        <v>B2</v>
      </c>
      <c r="AN136" s="64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1408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64" t="str">
        <f>VLOOKUP(A137,Classification!A:B,2,FALSE)</f>
        <v>B2</v>
      </c>
      <c r="AN137" s="64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1397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64" t="str">
        <f>VLOOKUP(A138,Classification!A:B,2,FALSE)</f>
        <v>B2</v>
      </c>
      <c r="AN138" s="64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1401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64" t="str">
        <f>VLOOKUP(A139,Classification!A:B,2,FALSE)</f>
        <v>B2</v>
      </c>
      <c r="AN139" s="64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1412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64" t="str">
        <f>VLOOKUP(A140,Classification!A:B,2,FALSE)</f>
        <v>B2</v>
      </c>
      <c r="AN140" s="64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1402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64" t="str">
        <f>VLOOKUP(A141,Classification!A:B,2,FALSE)</f>
        <v>B2</v>
      </c>
      <c r="AN141" s="64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1406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64" t="str">
        <f>VLOOKUP(A142,Classification!A:B,2,FALSE)</f>
        <v>B2</v>
      </c>
      <c r="AN142" s="64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1400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64" t="str">
        <f>VLOOKUP(A143,Classification!A:B,2,FALSE)</f>
        <v>B2</v>
      </c>
      <c r="AN143" s="64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1403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64" t="str">
        <f>VLOOKUP(A144,Classification!A:B,2,FALSE)</f>
        <v>B2</v>
      </c>
      <c r="AN144" s="64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1416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64" t="str">
        <f>VLOOKUP(A145,Classification!A:B,2,FALSE)</f>
        <v>B2</v>
      </c>
      <c r="AN145" s="64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1407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64" t="str">
        <f>VLOOKUP(A146,Classification!A:B,2,FALSE)</f>
        <v>B2</v>
      </c>
      <c r="AN146" s="64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1532</v>
      </c>
    </row>
    <row r="147" spans="1:58" s="3" customFormat="1" x14ac:dyDescent="0.2">
      <c r="A147" s="3" t="s">
        <v>1411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64" t="str">
        <f>VLOOKUP(A147,Classification!A:B,2,FALSE)</f>
        <v>B2</v>
      </c>
      <c r="AN147" s="64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1420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64" t="str">
        <f>VLOOKUP(A148,Classification!A:B,2,FALSE)</f>
        <v>B2</v>
      </c>
      <c r="AN148" s="64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1409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64" t="str">
        <f>VLOOKUP(A149,Classification!A:B,2,FALSE)</f>
        <v>B2</v>
      </c>
      <c r="AN149" s="64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1404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64" t="str">
        <f>VLOOKUP(A150,Classification!A:B,2,FALSE)</f>
        <v>B2</v>
      </c>
      <c r="AN150" s="64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1413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64" t="str">
        <f>VLOOKUP(A151,Classification!A:B,2,FALSE)</f>
        <v>B2</v>
      </c>
      <c r="AN151" s="64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1415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64" t="str">
        <f>VLOOKUP(A152,Classification!A:B,2,FALSE)</f>
        <v>B2</v>
      </c>
      <c r="AN152" s="64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1405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64" t="str">
        <f>VLOOKUP(A153,Classification!A:B,2,FALSE)</f>
        <v>B2</v>
      </c>
      <c r="AN153" s="64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594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64" t="str">
        <f>VLOOKUP(A154,Classification!A:B,2,FALSE)</f>
        <v>B1</v>
      </c>
      <c r="AN154" s="64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595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64" t="str">
        <f>VLOOKUP(A155,Classification!A:B,2,FALSE)</f>
        <v>B1</v>
      </c>
      <c r="AN155" s="64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64" t="str">
        <f>VLOOKUP(A156,Classification!A:B,2,FALSE)</f>
        <v>B1</v>
      </c>
      <c r="AN156" s="64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596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64" t="str">
        <f>VLOOKUP(A157,Classification!A:B,2,FALSE)</f>
        <v>B1</v>
      </c>
      <c r="AN157" s="64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1395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64" t="str">
        <f>VLOOKUP(A158,Classification!A:B,2,FALSE)</f>
        <v>B2</v>
      </c>
      <c r="AN158" s="64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675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64" t="str">
        <f>VLOOKUP(A159,Classification!A:B,2,FALSE)</f>
        <v>O</v>
      </c>
      <c r="AN159" s="64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678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64" t="str">
        <f>VLOOKUP(A160,Classification!A:B,2,FALSE)</f>
        <v>O</v>
      </c>
      <c r="AN160" s="64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380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64" t="str">
        <f>VLOOKUP(A161,Classification!A:B,2,FALSE)</f>
        <v>A</v>
      </c>
      <c r="AN161" s="64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381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64" t="str">
        <f>VLOOKUP(A162,Classification!A:B,2,FALSE)</f>
        <v>A</v>
      </c>
      <c r="AN162" s="64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486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64" t="str">
        <f>VLOOKUP(A163,Classification!A:B,2,FALSE)</f>
        <v>A</v>
      </c>
      <c r="AN163" s="64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359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64" t="str">
        <f>VLOOKUP(A164,Classification!A:B,2,FALSE)</f>
        <v>A</v>
      </c>
      <c r="AN164" s="64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1390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64" t="str">
        <f>VLOOKUP(A165,Classification!A:B,2,FALSE)</f>
        <v>A</v>
      </c>
      <c r="AN165" s="64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394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64" t="str">
        <f>VLOOKUP(A166,Classification!A:B,2,FALSE)</f>
        <v>A</v>
      </c>
      <c r="AN166" s="64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395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64" t="str">
        <f>VLOOKUP(A167,Classification!A:B,2,FALSE)</f>
        <v>A</v>
      </c>
      <c r="AN167" s="64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396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64" t="str">
        <f>VLOOKUP(A168,Classification!A:B,2,FALSE)</f>
        <v>A</v>
      </c>
      <c r="AN168" s="64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466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64" t="str">
        <f>VLOOKUP(A169,Classification!A:B,2,FALSE)</f>
        <v>A</v>
      </c>
      <c r="AN169" s="64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456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64" t="str">
        <f>VLOOKUP(A170,Classification!A:B,2,FALSE)</f>
        <v>A</v>
      </c>
      <c r="AN170" s="64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459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64" t="str">
        <f>VLOOKUP(A171,Classification!A:B,2,FALSE)</f>
        <v>A</v>
      </c>
      <c r="AN171" s="64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386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64" t="str">
        <f>VLOOKUP(A172,Classification!A:B,2,FALSE)</f>
        <v>A</v>
      </c>
      <c r="AN172" s="64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384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64" t="str">
        <f>VLOOKUP(A173,Classification!A:B,2,FALSE)</f>
        <v>A</v>
      </c>
      <c r="AN173" s="64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385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64" t="str">
        <f>VLOOKUP(A174,Classification!A:B,2,FALSE)</f>
        <v>A</v>
      </c>
      <c r="AN174" s="64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559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64" t="str">
        <f>VLOOKUP(A175,Classification!A:B,2,FALSE)</f>
        <v>A</v>
      </c>
      <c r="AN175" s="64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349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64" t="str">
        <f>VLOOKUP(A176,Classification!A:B,2,FALSE)</f>
        <v>A</v>
      </c>
      <c r="AN176" s="64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457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64" t="str">
        <f>VLOOKUP(A177,Classification!A:B,2,FALSE)</f>
        <v>A</v>
      </c>
      <c r="AN177" s="64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448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64" t="str">
        <f>VLOOKUP(A178,Classification!A:B,2,FALSE)</f>
        <v>A</v>
      </c>
      <c r="AN178" s="64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390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64" t="str">
        <f>VLOOKUP(A179,Classification!A:B,2,FALSE)</f>
        <v>A</v>
      </c>
      <c r="AN179" s="64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389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64" t="str">
        <f>VLOOKUP(A180,Classification!A:B,2,FALSE)</f>
        <v>A</v>
      </c>
      <c r="AN180" s="64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388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64" t="str">
        <f>VLOOKUP(A181,Classification!A:B,2,FALSE)</f>
        <v>A</v>
      </c>
      <c r="AN181" s="64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510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64" t="str">
        <f>VLOOKUP(A182,Classification!A:B,2,FALSE)</f>
        <v>A</v>
      </c>
      <c r="AN182" s="64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467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64" t="str">
        <f>VLOOKUP(A183,Classification!A:B,2,FALSE)</f>
        <v>A</v>
      </c>
      <c r="AN183" s="64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1391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64" t="str">
        <f>VLOOKUP(A184,Classification!A:B,2,FALSE)</f>
        <v>A</v>
      </c>
      <c r="AN184" s="64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391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64" t="str">
        <f>VLOOKUP(A185,Classification!A:B,2,FALSE)</f>
        <v>A</v>
      </c>
      <c r="AN185" s="64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613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64" t="str">
        <f>VLOOKUP(A186,Classification!A:B,2,FALSE)</f>
        <v>B2</v>
      </c>
      <c r="AN186" s="64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610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64" t="str">
        <f>VLOOKUP(A187,Classification!A:B,2,FALSE)</f>
        <v>B2</v>
      </c>
      <c r="AN187" s="64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602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64" t="str">
        <f>VLOOKUP(A188,Classification!A:B,2,FALSE)</f>
        <v>B1</v>
      </c>
      <c r="AN188" s="64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600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64" t="str">
        <f>VLOOKUP(A189,Classification!A:B,2,FALSE)</f>
        <v>B1</v>
      </c>
      <c r="AN189" s="64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603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64" t="str">
        <f>VLOOKUP(A190,Classification!A:B,2,FALSE)</f>
        <v>B1</v>
      </c>
      <c r="AN190" s="64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599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64" t="str">
        <f>VLOOKUP(A191,Classification!A:B,2,FALSE)</f>
        <v>B1</v>
      </c>
      <c r="AN191" s="64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601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64" t="str">
        <f>VLOOKUP(A192,Classification!A:B,2,FALSE)</f>
        <v>B1</v>
      </c>
      <c r="AN192" s="64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64" t="str">
        <f>VLOOKUP(A193,Classification!A:B,2,FALSE)</f>
        <v>B1</v>
      </c>
      <c r="AN193" s="64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598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64" t="str">
        <f>VLOOKUP(A194,Classification!A:B,2,FALSE)</f>
        <v>B1</v>
      </c>
      <c r="AN194" s="64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604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64" t="str">
        <f>VLOOKUP(A195,Classification!A:B,2,FALSE)</f>
        <v>B1</v>
      </c>
      <c r="AN195" s="64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605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64" t="str">
        <f>VLOOKUP(A196,Classification!A:B,2,FALSE)</f>
        <v>B1</v>
      </c>
      <c r="AN196" s="64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597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64" t="str">
        <f>VLOOKUP(A197,Classification!A:B,2,FALSE)</f>
        <v>B1</v>
      </c>
      <c r="AN197" s="64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606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64" t="str">
        <f>VLOOKUP(A198,Classification!A:B,2,FALSE)</f>
        <v>B1</v>
      </c>
      <c r="AN198" s="64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301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64" t="str">
        <f>VLOOKUP(A199,Classification!A:B,2,FALSE)</f>
        <v>C</v>
      </c>
      <c r="AN199" s="64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306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64" t="str">
        <f>VLOOKUP(A200,Classification!A:B,2,FALSE)</f>
        <v>C</v>
      </c>
      <c r="AN200" s="64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314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64" t="str">
        <f>VLOOKUP(A201,Classification!A:B,2,FALSE)</f>
        <v>C</v>
      </c>
      <c r="AN201" s="64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680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64" t="str">
        <f>VLOOKUP(A202,Classification!A:B,2,FALSE)</f>
        <v>O</v>
      </c>
      <c r="AN202" s="64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299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64" t="str">
        <f>VLOOKUP(A203,Classification!A:B,2,FALSE)</f>
        <v>C</v>
      </c>
      <c r="AN203" s="64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64" t="str">
        <f>VLOOKUP(A204,Classification!A:B,2,FALSE)</f>
        <v>C</v>
      </c>
      <c r="AN204" s="64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307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64" t="str">
        <f>VLOOKUP(A205,Classification!A:B,2,FALSE)</f>
        <v>C</v>
      </c>
      <c r="AN205" s="64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317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64" t="str">
        <f>VLOOKUP(A206,Classification!A:B,2,FALSE)</f>
        <v>C</v>
      </c>
      <c r="AN206" s="64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315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64" t="str">
        <f>VLOOKUP(A207,Classification!A:B,2,FALSE)</f>
        <v>C</v>
      </c>
      <c r="AN207" s="64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316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64" t="str">
        <f>VLOOKUP(A208,Classification!A:B,2,FALSE)</f>
        <v>C</v>
      </c>
      <c r="AN208" s="64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302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64" t="str">
        <f>VLOOKUP(A209,Classification!A:B,2,FALSE)</f>
        <v>C</v>
      </c>
      <c r="AN209" s="64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303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64" t="str">
        <f>VLOOKUP(A210,Classification!A:B,2,FALSE)</f>
        <v>C</v>
      </c>
      <c r="AN210" s="64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305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64" t="str">
        <f>VLOOKUP(A211,Classification!A:B,2,FALSE)</f>
        <v>C</v>
      </c>
      <c r="AN211" s="64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304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64" t="str">
        <f>VLOOKUP(A212,Classification!A:B,2,FALSE)</f>
        <v>C</v>
      </c>
      <c r="AN212" s="64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298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64" t="str">
        <f>VLOOKUP(A213,Classification!A:B,2,FALSE)</f>
        <v>C</v>
      </c>
      <c r="AN213" s="64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312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64" t="str">
        <f>VLOOKUP(A214,Classification!A:B,2,FALSE)</f>
        <v>C</v>
      </c>
      <c r="AN214" s="64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310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64" t="str">
        <f>VLOOKUP(A215,Classification!A:B,2,FALSE)</f>
        <v>C</v>
      </c>
      <c r="AN215" s="64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311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64" t="str">
        <f>VLOOKUP(A216,Classification!A:B,2,FALSE)</f>
        <v>C</v>
      </c>
      <c r="AN216" s="64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313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64" t="str">
        <f>VLOOKUP(A217,Classification!A:B,2,FALSE)</f>
        <v>C</v>
      </c>
      <c r="AN217" s="64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64" t="str">
        <f>VLOOKUP(A218,Classification!A:B,2,FALSE)</f>
        <v>C</v>
      </c>
      <c r="AN218" s="64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309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64" t="str">
        <f>VLOOKUP(A219,Classification!A:B,2,FALSE)</f>
        <v>C</v>
      </c>
      <c r="AN219" s="64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308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64" t="str">
        <f>VLOOKUP(A220,Classification!A:B,2,FALSE)</f>
        <v>C</v>
      </c>
      <c r="AN220" s="64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300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64" t="str">
        <f>VLOOKUP(A221,Classification!A:B,2,FALSE)</f>
        <v>C</v>
      </c>
      <c r="AN221" s="64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412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64" t="str">
        <f>VLOOKUP(A222,Classification!A:B,2,FALSE)</f>
        <v>A</v>
      </c>
      <c r="AN222" s="64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438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64" t="str">
        <f>VLOOKUP(A223,Classification!A:B,2,FALSE)</f>
        <v>A</v>
      </c>
      <c r="AN223" s="64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471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64" t="str">
        <f>VLOOKUP(A224,Classification!A:B,2,FALSE)</f>
        <v>A</v>
      </c>
      <c r="AN224" s="64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419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64" t="str">
        <f>VLOOKUP(A225,Classification!A:B,2,FALSE)</f>
        <v>A</v>
      </c>
      <c r="AN225" s="64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16" customFormat="1" x14ac:dyDescent="0.2">
      <c r="A226" s="16" t="s">
        <v>375</v>
      </c>
      <c r="B226" s="16" t="str">
        <f>LOWER(VLOOKUP(A226,Xtal_Templ!A:B,2,FALSE))</f>
        <v>cnr1_human</v>
      </c>
      <c r="C226" s="16">
        <f>VLOOKUP($A226,'NonXtal_SegEnds_BW#'!$A:$Z,3,FALSE)+D226-50</f>
        <v>113</v>
      </c>
      <c r="D226" s="16">
        <v>134</v>
      </c>
      <c r="E226" s="16">
        <f>IF(ISERROR(VLOOKUP($A226,'NonXtal_SegEnds_BW#'!$A:$Z,4,FALSE)+VLOOKUP($A226,A:AL,4,FALSE)-50),"-",(VLOOKUP($A226,'NonXtal_SegEnds_BW#'!$A:$Z,4,FALSE)+VLOOKUP($A226,A:AL,4,FALSE)-50))</f>
        <v>144</v>
      </c>
      <c r="F226" s="16">
        <f t="shared" ref="F226:F231" si="122">G226-2</f>
        <v>145</v>
      </c>
      <c r="G226" s="16">
        <v>147</v>
      </c>
      <c r="H226" s="16">
        <f t="shared" ref="H226:I231" si="123">G226+1</f>
        <v>148</v>
      </c>
      <c r="I226" s="3">
        <f>VLOOKUP($A226,'NonXtal_SegEnds_BW#'!$A:$Z,7,FALSE)+J226-50</f>
        <v>150</v>
      </c>
      <c r="J226" s="16">
        <v>163</v>
      </c>
      <c r="K226" s="16">
        <f>VLOOKUP($A226,'NonXtal_SegEnds_BW#'!$A:$Z,8,FALSE)+VLOOKUP($A226,A:AL,10,FALSE)-50</f>
        <v>179</v>
      </c>
      <c r="L226" s="16" t="str">
        <f>IF(ISERROR(VLOOKUP($A226,'NonXtal_SegEnds_BW#'!$A:$Z,9,FALSE)+VLOOKUP($A226,A:AL,13,FALSE)-50),"-",(VLOOKUP($A226,'NonXtal_SegEnds_BW#'!$A:$Z,9,FALSE)+VLOOKUP($A226,A:AL,13,FALSE)-50))</f>
        <v>-</v>
      </c>
      <c r="M226" s="16" t="s">
        <v>129</v>
      </c>
      <c r="N226" s="16" t="str">
        <f>IF(ISERROR(VLOOKUP($A226,'NonXtal_SegEnds_BW#'!$A:$Z,10,FALSE)+VLOOKUP($A226,A:AL,13,FALSE)-50),"-",(VLOOKUP($A226,'NonXtal_SegEnds_BW#'!$A:$Z,10,FALSE)+VLOOKUP($A226,A:AL,13,FALSE)-50))</f>
        <v>-</v>
      </c>
      <c r="O226" s="16">
        <f>VLOOKUP($A226,'NonXtal_SegEnds_BW#'!$A:$Z,11,FALSE)+VLOOKUP($A226,A:AL,16,FALSE)-50</f>
        <v>185</v>
      </c>
      <c r="P226" s="16">
        <v>214</v>
      </c>
      <c r="Q226" s="16">
        <f>VLOOKUP($A226,'NonXtal_SegEnds_BW#'!$A:$Z,12,FALSE)+VLOOKUP($A226,A:AL,16,FALSE)-50</f>
        <v>220</v>
      </c>
      <c r="R226" s="16">
        <f>S226</f>
        <v>221</v>
      </c>
      <c r="S226" s="16">
        <v>221</v>
      </c>
      <c r="T226" s="16">
        <f>S226+7</f>
        <v>228</v>
      </c>
      <c r="U226" s="16">
        <f>IF(ISERROR(VLOOKUP($A226,'NonXtal_SegEnds_BW#'!$A:$Z,15,FALSE)+VLOOKUP($A226,A:AL,22,FALSE)-50),"-",VLOOKUP($A226,'NonXtal_SegEnds_BW#'!$A:$Z,15,FALSE)+VLOOKUP($A226,A:AL,22,FALSE)-50)</f>
        <v>230</v>
      </c>
      <c r="V226" s="16">
        <v>241</v>
      </c>
      <c r="W226" s="16">
        <f>IF(ISERROR(VLOOKUP($A226,'NonXtal_SegEnds_BW#'!$A:$Z,16,FALSE)+VLOOKUP($A226,A:AL,22,FALSE)-50),"-",(VLOOKUP($A226,'NonXtal_SegEnds_BW#'!$A:$Z,16,FALSE)+VLOOKUP($A226,A:AL,22,FALSE)-50))</f>
        <v>254</v>
      </c>
      <c r="X226" s="16" t="str">
        <f>IF(ISERROR(VLOOKUP($A226,'NonXtal_SegEnds_BW#'!$A:$Z,17,FALSE)+VLOOKUP($A226,A:AL,25,FALSE)-50),"-",(VLOOKUP($A226,'NonXtal_SegEnds_BW#'!$A:$Z,17,FALSE)+VLOOKUP($A226,A:AL,25,FALSE)-50))</f>
        <v>-</v>
      </c>
      <c r="Y226" s="16" t="s">
        <v>129</v>
      </c>
      <c r="Z226" s="16" t="str">
        <f>IF(ISERROR(VLOOKUP($A226,'NonXtal_SegEnds_BW#'!$A:$Z,18,FALSE)+VLOOKUP($A226,A:AL,25,FALSE)-50),"-",(VLOOKUP($A226,'NonXtal_SegEnds_BW#'!$A:$Z,18,FALSE)+VLOOKUP($A226,A:AL,25,FALSE)-50))</f>
        <v>-</v>
      </c>
      <c r="AA226" s="16">
        <f>IF(ISERROR(VLOOKUP($A226,'NonXtal_SegEnds_BW#'!$A:$Z,19,FALSE)+VLOOKUP($A226,A:AL,28,FALSE)-50),"-",(VLOOKUP($A226,'NonXtal_SegEnds_BW#'!$A:$Z,19,FALSE)+VLOOKUP($A226,A:AL,28,FALSE)-50))</f>
        <v>272</v>
      </c>
      <c r="AB226" s="16">
        <v>286</v>
      </c>
      <c r="AC226" s="16">
        <f>IF(ISERROR((VLOOKUP($A226,'NonXtal_SegEnds_BW#'!$A:$Z,20,FALSE)+VLOOKUP($A226,A:AL,28,FALSE)-50)),"-",(VLOOKUP($A226,'NonXtal_SegEnds_BW#'!$A:$Z,20,FALSE)+VLOOKUP($A226,A:AL,28,FALSE)-50))</f>
        <v>312</v>
      </c>
      <c r="AD226" s="16">
        <f>IF(ISERROR(VLOOKUP($A226,'NonXtal_SegEnds_BW#'!$A:$Z,21,FALSE)+VLOOKUP($A226,A:AL,31,FALSE)-50),"-",(VLOOKUP($A226,'NonXtal_SegEnds_BW#'!$A:$Z,21,FALSE)+VLOOKUP($A226,A:AL,31,FALSE)-50))</f>
        <v>332</v>
      </c>
      <c r="AE226" s="16">
        <v>358</v>
      </c>
      <c r="AF226" s="16">
        <f>IF(ISERROR((VLOOKUP($A226,'NonXtal_SegEnds_BW#'!$A:$Z,22,FALSE)+VLOOKUP($A226,A:AL,31,FALSE)-50)),"-",(VLOOKUP($A226,'NonXtal_SegEnds_BW#'!$A:$Z,22,FALSE)+VLOOKUP($A226,A:AL,31,FALSE)-50))</f>
        <v>369</v>
      </c>
      <c r="AG226" s="16">
        <f>IF(ISERROR(VLOOKUP($A226,'NonXtal_SegEnds_BW#'!$A:$Z,23,FALSE)+VLOOKUP($A226,A:AL,34,FALSE)-50),"-",(VLOOKUP($A226,'NonXtal_SegEnds_BW#'!$A:$Z,23,FALSE)+VLOOKUP($A226,A:AL,34,FALSE)-50))</f>
        <v>373</v>
      </c>
      <c r="AH226" s="16">
        <v>394</v>
      </c>
      <c r="AI226" s="16">
        <f>IF(ISERROR((VLOOKUP($A226,'NonXtal_SegEnds_BW#'!$A:$Z,24,FALSE)+VLOOKUP($A226,A:AL,34,FALSE)-50)),"-",(VLOOKUP($A226,'NonXtal_SegEnds_BW#'!$A:$Z,24,FALSE)+VLOOKUP($A226,A:AL,34,FALSE)-50))</f>
        <v>400</v>
      </c>
      <c r="AJ226" s="16">
        <f>IF(ISERROR(VLOOKUP($A226,'NonXtal_SegEnds_BW#'!$A:$Z,25,FALSE)+VLOOKUP($A226,A:AL,37,FALSE)-50),"-",(VLOOKUP($A226,'NonXtal_SegEnds_BW#'!$A:$Z,25,FALSE)+VLOOKUP($A226,A:AL,37,FALSE)-50))</f>
        <v>401</v>
      </c>
      <c r="AK226" s="16">
        <v>404</v>
      </c>
      <c r="AL226" s="16">
        <f>IF(ISERROR((VLOOKUP($A226,'NonXtal_SegEnds_BW#'!$A:$Z,26,FALSE)+VLOOKUP($A226,A:AL,37,FALSE)-50)),"-",(VLOOKUP($A226,'NonXtal_SegEnds_BW#'!$A:$Z,26,FALSE)+VLOOKUP($A226,A:AL,37,FALSE)-50))</f>
        <v>413</v>
      </c>
      <c r="AM226" s="103" t="str">
        <f>VLOOKUP(A226,Classification!A:B,2,FALSE)</f>
        <v>A</v>
      </c>
      <c r="AN226" s="103" t="b">
        <f t="shared" si="102"/>
        <v>1</v>
      </c>
      <c r="AO226" s="16">
        <f t="shared" si="103"/>
        <v>1</v>
      </c>
      <c r="AP226" s="16">
        <f t="shared" si="104"/>
        <v>2</v>
      </c>
      <c r="AQ226" s="16" t="str">
        <f t="shared" si="105"/>
        <v>-</v>
      </c>
      <c r="AR226" s="16" t="str">
        <f t="shared" si="106"/>
        <v>-</v>
      </c>
      <c r="AS226" s="16">
        <f t="shared" si="107"/>
        <v>1</v>
      </c>
      <c r="AT226" s="16">
        <f t="shared" si="108"/>
        <v>2</v>
      </c>
      <c r="AU226" s="16" t="str">
        <f t="shared" si="109"/>
        <v>-</v>
      </c>
      <c r="AV226" s="16" t="str">
        <f t="shared" si="110"/>
        <v>-</v>
      </c>
      <c r="AW226" s="16">
        <f t="shared" si="111"/>
        <v>20</v>
      </c>
      <c r="AX226" s="16">
        <f t="shared" si="112"/>
        <v>4</v>
      </c>
      <c r="AY226" s="16">
        <f t="shared" si="113"/>
        <v>1</v>
      </c>
      <c r="AZ226" s="16">
        <f>IF(ISERROR(LEN(VLOOKUP(A226,Seqs!A:E,2,FALSE))-AL226),"-",LEN(VLOOKUP(A226,Seqs!A:E,2,FALSE))-AL226)</f>
        <v>59</v>
      </c>
      <c r="BA226" s="128">
        <f t="shared" si="114"/>
        <v>29</v>
      </c>
      <c r="BB226" s="16">
        <f t="shared" si="115"/>
        <v>20</v>
      </c>
      <c r="BC226" s="16">
        <f t="shared" si="116"/>
        <v>29</v>
      </c>
      <c r="BD226" s="16">
        <f t="shared" si="117"/>
        <v>72</v>
      </c>
    </row>
    <row r="227" spans="1:57" s="3" customFormat="1" x14ac:dyDescent="0.2">
      <c r="A227" s="3" t="s">
        <v>376</v>
      </c>
      <c r="B227" s="3" t="str">
        <f>LOWER(VLOOKUP(A227,Xtal_Templ!A:B,2,FALSE))</f>
        <v>cnr1_human</v>
      </c>
      <c r="C227" s="3">
        <f>VLOOKUP($A227,'NonXtal_SegEnds_BW#'!$A:$Z,3,FALSE)+D227-50</f>
        <v>30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64" t="str">
        <f>VLOOKUP(A227,Classification!A:B,2,FALSE)</f>
        <v>A</v>
      </c>
      <c r="AN227" s="64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442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64" t="str">
        <f>VLOOKUP(A228,Classification!A:B,2,FALSE)</f>
        <v>A</v>
      </c>
      <c r="AN228" s="64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296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64" t="str">
        <f>VLOOKUP(A229,Classification!A:B,2,FALSE)</f>
        <v>A</v>
      </c>
      <c r="AN229" s="64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479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64" t="str">
        <f>VLOOKUP(A230,Classification!A:B,2,FALSE)</f>
        <v>A</v>
      </c>
      <c r="AN230" s="64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480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64" t="str">
        <f>VLOOKUP(A231,Classification!A:B,2,FALSE)</f>
        <v>A</v>
      </c>
      <c r="AN231" s="64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409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64" t="str">
        <f>VLOOKUP(A232,Classification!A:B,2,FALSE)</f>
        <v>A</v>
      </c>
      <c r="AN232" s="64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503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64" t="str">
        <f>VLOOKUP(A233,Classification!A:B,2,FALSE)</f>
        <v>A</v>
      </c>
      <c r="AN233" s="64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1109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64" t="str">
        <f>VLOOKUP(A234,Classification!A:B,2,FALSE)</f>
        <v>A</v>
      </c>
      <c r="AN234" s="64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320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64" t="str">
        <f>VLOOKUP(A235,Classification!A:B,2,FALSE)</f>
        <v>A</v>
      </c>
      <c r="AN235" s="64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511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64" t="str">
        <f>VLOOKUP(A236,Classification!A:B,2,FALSE)</f>
        <v>A</v>
      </c>
      <c r="AN236" s="64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449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64" t="str">
        <f>VLOOKUP(A237,Classification!A:B,2,FALSE)</f>
        <v>A</v>
      </c>
      <c r="AN237" s="64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512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64" t="str">
        <f>VLOOKUP(A238,Classification!A:B,2,FALSE)</f>
        <v>A</v>
      </c>
      <c r="AN238" s="64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402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64" t="str">
        <f>VLOOKUP(A239,Classification!A:B,2,FALSE)</f>
        <v>A</v>
      </c>
      <c r="AN239" s="64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523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64" t="str">
        <f>VLOOKUP(A240,Classification!A:B,2,FALSE)</f>
        <v>A</v>
      </c>
      <c r="AN240" s="64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555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64" t="str">
        <f>VLOOKUP(A241,Classification!A:B,2,FALSE)</f>
        <v>A</v>
      </c>
      <c r="AN241" s="64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417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64" t="str">
        <f>VLOOKUP(A242,Classification!A:B,2,FALSE)</f>
        <v>A</v>
      </c>
      <c r="AN242" s="64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461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64" t="str">
        <f>VLOOKUP(A243,Classification!A:B,2,FALSE)</f>
        <v>A</v>
      </c>
      <c r="AN243" s="64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528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64" t="str">
        <f>VLOOKUP(A244,Classification!A:B,2,FALSE)</f>
        <v>A</v>
      </c>
      <c r="AN244" s="64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1111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64" t="str">
        <f>VLOOKUP(A245,Classification!A:B,2,FALSE)</f>
        <v>A</v>
      </c>
      <c r="AN245" s="64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577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64" t="str">
        <f>VLOOKUP(A246,Classification!A:B,2,FALSE)</f>
        <v>A</v>
      </c>
      <c r="AN246" s="64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514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64" t="str">
        <f>VLOOKUP(A247,Classification!A:B,2,FALSE)</f>
        <v>A</v>
      </c>
      <c r="AN247" s="64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493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64" t="str">
        <f>VLOOKUP(A248,Classification!A:B,2,FALSE)</f>
        <v>A</v>
      </c>
      <c r="AN248" s="64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553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64" t="str">
        <f>VLOOKUP(A249,Classification!A:B,2,FALSE)</f>
        <v>A</v>
      </c>
      <c r="AN249" s="64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501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64" t="str">
        <f>VLOOKUP(A250,Classification!A:B,2,FALSE)</f>
        <v>A</v>
      </c>
      <c r="AN250" s="64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535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64" t="str">
        <f>VLOOKUP(A251,Classification!A:B,2,FALSE)</f>
        <v>A</v>
      </c>
      <c r="AN251" s="64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529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64" t="str">
        <f>VLOOKUP(A252,Classification!A:B,2,FALSE)</f>
        <v>A</v>
      </c>
      <c r="AN252" s="64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393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64" t="str">
        <f>VLOOKUP(A253,Classification!A:B,2,FALSE)</f>
        <v>A</v>
      </c>
      <c r="AN253" s="64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444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64" t="str">
        <f>VLOOKUP(A254,Classification!A:B,2,FALSE)</f>
        <v>A</v>
      </c>
      <c r="AN254" s="64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357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64" t="str">
        <f>VLOOKUP(A255,Classification!A:B,2,FALSE)</f>
        <v>A</v>
      </c>
      <c r="AN255" s="64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660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64" t="str">
        <f>VLOOKUP(A256,Classification!A:B,2,FALSE)</f>
        <v>T</v>
      </c>
      <c r="AN256" s="64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530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64" t="str">
        <f>VLOOKUP(A257,Classification!A:B,2,FALSE)</f>
        <v>A</v>
      </c>
      <c r="AN257" s="64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1113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64" t="str">
        <f>VLOOKUP(A258,Classification!A:B,2,FALSE)</f>
        <v>A</v>
      </c>
      <c r="AN258" s="64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574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64" t="str">
        <f>VLOOKUP(A259,Classification!A:B,2,FALSE)</f>
        <v>A</v>
      </c>
      <c r="AN259" s="64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590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64" t="str">
        <f>VLOOKUP(A260,Classification!A:B,2,FALSE)</f>
        <v>A</v>
      </c>
      <c r="AN260" s="64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403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64" t="str">
        <f>VLOOKUP(A261,Classification!A:B,2,FALSE)</f>
        <v>A</v>
      </c>
      <c r="AN261" s="64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575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64" t="str">
        <f>VLOOKUP(A262,Classification!A:B,2,FALSE)</f>
        <v>A</v>
      </c>
      <c r="AN262" s="64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398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64" t="str">
        <f>VLOOKUP(A263,Classification!A:B,2,FALSE)</f>
        <v>A</v>
      </c>
      <c r="AN263" s="64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578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64" t="str">
        <f>VLOOKUP(A264,Classification!A:B,2,FALSE)</f>
        <v>A</v>
      </c>
      <c r="AN264" s="64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399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64" t="str">
        <f>VLOOKUP(A265,Classification!A:B,2,FALSE)</f>
        <v>A</v>
      </c>
      <c r="AN265" s="64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400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64" t="str">
        <f>VLOOKUP(A266,Classification!A:B,2,FALSE)</f>
        <v>A</v>
      </c>
      <c r="AN266" s="64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411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64" t="str">
        <f>VLOOKUP(A267,Classification!A:B,2,FALSE)</f>
        <v>A</v>
      </c>
      <c r="AN267" s="64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492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64" t="str">
        <f>VLOOKUP(A268,Classification!A:B,2,FALSE)</f>
        <v>A</v>
      </c>
      <c r="AN268" s="64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1392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64" t="str">
        <f>VLOOKUP(A269,Classification!A:B,2,FALSE)</f>
        <v>A</v>
      </c>
      <c r="AN269" s="64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589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64" t="str">
        <f>VLOOKUP(A270,Classification!A:B,2,FALSE)</f>
        <v>A</v>
      </c>
      <c r="AN270" s="64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592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64" t="str">
        <f>VLOOKUP(A271,Classification!A:B,2,FALSE)</f>
        <v>A</v>
      </c>
      <c r="AN271" s="64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475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64" t="str">
        <f>VLOOKUP(A272,Classification!A:B,2,FALSE)</f>
        <v>A</v>
      </c>
      <c r="AN272" s="64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576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64" t="str">
        <f>VLOOKUP(A273,Classification!A:B,2,FALSE)</f>
        <v>A</v>
      </c>
      <c r="AN273" s="64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513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64" t="str">
        <f>VLOOKUP(A274,Classification!A:B,2,FALSE)</f>
        <v>A</v>
      </c>
      <c r="AN274" s="64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591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64" t="str">
        <f>VLOOKUP(A275,Classification!A:B,2,FALSE)</f>
        <v>A</v>
      </c>
      <c r="AN275" s="64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587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64" t="str">
        <f>VLOOKUP(A276,Classification!A:B,2,FALSE)</f>
        <v>A</v>
      </c>
      <c r="AN276" s="64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410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64" t="str">
        <f>VLOOKUP(A277,Classification!A:B,2,FALSE)</f>
        <v>A</v>
      </c>
      <c r="AN277" s="64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526</v>
      </c>
      <c r="B278" s="3" t="s">
        <v>1115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64" t="str">
        <f>VLOOKUP(A278,Classification!A:B,2,FALSE)</f>
        <v>A</v>
      </c>
      <c r="AN278" s="64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525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64" t="str">
        <f>VLOOKUP(A279,Classification!A:B,2,FALSE)</f>
        <v>A</v>
      </c>
      <c r="AN279" s="64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1115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64" t="str">
        <f>VLOOKUP(A280,Classification!A:B,2,FALSE)</f>
        <v>A</v>
      </c>
      <c r="AN280" s="64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527</v>
      </c>
      <c r="B281" s="3" t="s">
        <v>1115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64" t="str">
        <f>VLOOKUP(A281,Classification!A:B,2,FALSE)</f>
        <v>A</v>
      </c>
      <c r="AN281" s="64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668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64" t="str">
        <f>VLOOKUP(A282,Classification!A:B,2,FALSE)</f>
        <v>T</v>
      </c>
      <c r="AN282" s="64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478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64" t="str">
        <f>VLOOKUP(A283,Classification!A:B,2,FALSE)</f>
        <v>A</v>
      </c>
      <c r="AN283" s="64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533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64" t="str">
        <f>VLOOKUP(A284,Classification!A:B,2,FALSE)</f>
        <v>A</v>
      </c>
      <c r="AN284" s="64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534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64" t="str">
        <f>VLOOKUP(A285,Classification!A:B,2,FALSE)</f>
        <v>A</v>
      </c>
      <c r="AN285" s="64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532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64" t="str">
        <f>VLOOKUP(A286,Classification!A:B,2,FALSE)</f>
        <v>A</v>
      </c>
      <c r="AN286" s="64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531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64" t="str">
        <f>VLOOKUP(A287,Classification!A:B,2,FALSE)</f>
        <v>A</v>
      </c>
      <c r="AN287" s="64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1117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64" t="str">
        <f>VLOOKUP(A288,Classification!A:B,2,FALSE)</f>
        <v>A</v>
      </c>
      <c r="AN288" s="64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516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64" t="str">
        <f>VLOOKUP(A289,Classification!A:B,2,FALSE)</f>
        <v>A</v>
      </c>
      <c r="AN289" s="64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408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64" t="str">
        <f>VLOOKUP(A290,Classification!A:B,2,FALSE)</f>
        <v>A</v>
      </c>
      <c r="AN290" s="64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415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64" t="str">
        <f>VLOOKUP(A291,Classification!A:B,2,FALSE)</f>
        <v>A</v>
      </c>
      <c r="AN291" s="64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519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64" t="str">
        <f>VLOOKUP(A292,Classification!A:B,2,FALSE)</f>
        <v>A</v>
      </c>
      <c r="AN292" s="64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1393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64" t="str">
        <f>VLOOKUP(A293,Classification!A:B,2,FALSE)</f>
        <v>A</v>
      </c>
      <c r="AN293" s="64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425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64" t="str">
        <f>VLOOKUP(A294,Classification!A:B,2,FALSE)</f>
        <v>A</v>
      </c>
      <c r="AN294" s="64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537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64" t="str">
        <f>VLOOKUP(A295,Classification!A:B,2,FALSE)</f>
        <v>A</v>
      </c>
      <c r="AN295" s="64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508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64" t="str">
        <f>VLOOKUP(A296,Classification!A:B,2,FALSE)</f>
        <v>A</v>
      </c>
      <c r="AN296" s="64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463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64" t="str">
        <f>VLOOKUP(A297,Classification!A:B,2,FALSE)</f>
        <v>A</v>
      </c>
      <c r="AN297" s="64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460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64" t="str">
        <f>VLOOKUP(A298,Classification!A:B,2,FALSE)</f>
        <v>A</v>
      </c>
      <c r="AN298" s="64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522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64" t="str">
        <f>VLOOKUP(A299,Classification!A:B,2,FALSE)</f>
        <v>A</v>
      </c>
      <c r="AN299" s="64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1532</v>
      </c>
    </row>
    <row r="300" spans="1:58" s="3" customFormat="1" x14ac:dyDescent="0.2">
      <c r="A300" s="3" t="s">
        <v>653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64" t="str">
        <f>VLOOKUP(A300,Classification!A:B,2,FALSE)</f>
        <v>T</v>
      </c>
      <c r="AN300" s="64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509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64" t="str">
        <f>VLOOKUP(A301,Classification!A:B,2,FALSE)</f>
        <v>A</v>
      </c>
      <c r="AN301" s="64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462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64" t="str">
        <f>VLOOKUP(A302,Classification!A:B,2,FALSE)</f>
        <v>A</v>
      </c>
      <c r="AN302" s="64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560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64" t="str">
        <f>VLOOKUP(A303,Classification!A:B,2,FALSE)</f>
        <v>A</v>
      </c>
      <c r="AN303" s="64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562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64" t="str">
        <f>VLOOKUP(A304,Classification!A:B,2,FALSE)</f>
        <v>A</v>
      </c>
      <c r="AN304" s="64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435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64" t="str">
        <f>VLOOKUP(A305,Classification!A:B,2,FALSE)</f>
        <v>A</v>
      </c>
      <c r="AN305" s="64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1394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64" t="str">
        <f>VLOOKUP(A306,Classification!A:B,2,FALSE)</f>
        <v>A</v>
      </c>
      <c r="AN306" s="64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561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64" t="str">
        <f>VLOOKUP(A307,Classification!A:B,2,FALSE)</f>
        <v>A</v>
      </c>
      <c r="AN307" s="64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401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64" t="str">
        <f>VLOOKUP(A308,Classification!A:B,2,FALSE)</f>
        <v>A</v>
      </c>
      <c r="AN308" s="64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356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64" t="str">
        <f>VLOOKUP(A309,Classification!A:B,2,FALSE)</f>
        <v>A</v>
      </c>
      <c r="AN309" s="64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515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64" t="str">
        <f>VLOOKUP(A310,Classification!A:B,2,FALSE)</f>
        <v>A</v>
      </c>
      <c r="AN310" s="64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520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64" t="str">
        <f>VLOOKUP(A311,Classification!A:B,2,FALSE)</f>
        <v>A</v>
      </c>
      <c r="AN311" s="64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565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64" t="str">
        <f>VLOOKUP(A312,Classification!A:B,2,FALSE)</f>
        <v>A</v>
      </c>
      <c r="AN312" s="64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518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64" t="str">
        <f>VLOOKUP(A313,Classification!A:B,2,FALSE)</f>
        <v>A</v>
      </c>
      <c r="AN313" s="64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521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64" t="str">
        <f>VLOOKUP(A314,Classification!A:B,2,FALSE)</f>
        <v>A</v>
      </c>
      <c r="AN314" s="64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517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64" t="str">
        <f>VLOOKUP(A315,Classification!A:B,2,FALSE)</f>
        <v>A</v>
      </c>
      <c r="AN315" s="64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360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64" t="str">
        <f>VLOOKUP(A316,Classification!A:B,2,FALSE)</f>
        <v>A</v>
      </c>
      <c r="AN316" s="64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453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64" t="str">
        <f>VLOOKUP(A317,Classification!A:B,2,FALSE)</f>
        <v>A</v>
      </c>
      <c r="AN317" s="64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505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64" t="str">
        <f>VLOOKUP(A318,Classification!A:B,2,FALSE)</f>
        <v>A</v>
      </c>
      <c r="AN318" s="64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416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64" t="str">
        <f>VLOOKUP(A319,Classification!A:B,2,FALSE)</f>
        <v>A</v>
      </c>
      <c r="AN319" s="64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552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64" t="str">
        <f>VLOOKUP(A320,Classification!A:B,2,FALSE)</f>
        <v>A</v>
      </c>
      <c r="AN320" s="64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437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64" t="str">
        <f>VLOOKUP(A321,Classification!A:B,2,FALSE)</f>
        <v>A</v>
      </c>
      <c r="AN321" s="64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507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64" t="str">
        <f>VLOOKUP(A322,Classification!A:B,2,FALSE)</f>
        <v>A</v>
      </c>
      <c r="AN322" s="64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506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64" t="str">
        <f>VLOOKUP(A323,Classification!A:B,2,FALSE)</f>
        <v>A</v>
      </c>
      <c r="AN323" s="64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418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64" t="str">
        <f>VLOOKUP(A324,Classification!A:B,2,FALSE)</f>
        <v>A</v>
      </c>
      <c r="AN324" s="64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440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64" t="str">
        <f>VLOOKUP(A325,Classification!A:B,2,FALSE)</f>
        <v>A</v>
      </c>
      <c r="AN325" s="64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487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64" t="str">
        <f>VLOOKUP(A326,Classification!A:B,2,FALSE)</f>
        <v>A</v>
      </c>
      <c r="AN326" s="64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488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64" t="str">
        <f>VLOOKUP(A327,Classification!A:B,2,FALSE)</f>
        <v>A</v>
      </c>
      <c r="AN327" s="64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494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64" t="str">
        <f>VLOOKUP(A328,Classification!A:B,2,FALSE)</f>
        <v>A</v>
      </c>
      <c r="AN328" s="64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496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64" t="str">
        <f>VLOOKUP(A329,Classification!A:B,2,FALSE)</f>
        <v>A</v>
      </c>
      <c r="AN329" s="64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498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64" t="str">
        <f>VLOOKUP(A330,Classification!A:B,2,FALSE)</f>
        <v>A</v>
      </c>
      <c r="AN330" s="64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652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64" t="str">
        <f>VLOOKUP(A331,Classification!A:B,2,FALSE)</f>
        <v>T</v>
      </c>
      <c r="AN331" s="64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433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64" t="str">
        <f>VLOOKUP(A332,Classification!A:B,2,FALSE)</f>
        <v>A</v>
      </c>
      <c r="AN332" s="64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538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64" t="str">
        <f>VLOOKUP(A333,Classification!A:B,2,FALSE)</f>
        <v>A</v>
      </c>
      <c r="AN333" s="64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544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64" t="str">
        <f>VLOOKUP(A334,Classification!A:B,2,FALSE)</f>
        <v>A</v>
      </c>
      <c r="AN334" s="64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481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64" t="str">
        <f>VLOOKUP(A335,Classification!A:B,2,FALSE)</f>
        <v>A</v>
      </c>
      <c r="AN335" s="64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373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64" t="str">
        <f>VLOOKUP(A336,Classification!A:B,2,FALSE)</f>
        <v>A</v>
      </c>
      <c r="AN336" s="64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407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64" t="str">
        <f>VLOOKUP(A337,Classification!A:B,2,FALSE)</f>
        <v>A</v>
      </c>
      <c r="AN337" s="64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540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64" t="str">
        <f>VLOOKUP(A338,Classification!A:B,2,FALSE)</f>
        <v>A</v>
      </c>
      <c r="AN338" s="64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536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64" t="str">
        <f>VLOOKUP(A339,Classification!A:B,2,FALSE)</f>
        <v>A</v>
      </c>
      <c r="AN339" s="64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539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64" t="str">
        <f>VLOOKUP(A340,Classification!A:B,2,FALSE)</f>
        <v>A</v>
      </c>
      <c r="AN340" s="64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543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64" t="str">
        <f>VLOOKUP(A341,Classification!A:B,2,FALSE)</f>
        <v>A</v>
      </c>
      <c r="AN341" s="64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469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64" t="str">
        <f>VLOOKUP(A342,Classification!A:B,2,FALSE)</f>
        <v>A</v>
      </c>
      <c r="AN342" s="64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470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64" t="str">
        <f>VLOOKUP(A343,Classification!A:B,2,FALSE)</f>
        <v>A</v>
      </c>
      <c r="AN343" s="64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541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64" t="str">
        <f>VLOOKUP(A344,Classification!A:B,2,FALSE)</f>
        <v>A</v>
      </c>
      <c r="AN344" s="64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482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64" t="str">
        <f>VLOOKUP(A345,Classification!A:B,2,FALSE)</f>
        <v>A</v>
      </c>
      <c r="AN345" s="64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372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64" t="str">
        <f>VLOOKUP(A346,Classification!A:B,2,FALSE)</f>
        <v>A</v>
      </c>
      <c r="AN346" s="64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434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64" t="str">
        <f>VLOOKUP(A347,Classification!A:B,2,FALSE)</f>
        <v>A</v>
      </c>
      <c r="AN347" s="64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579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64" t="str">
        <f>VLOOKUP(A348,Classification!A:B,2,FALSE)</f>
        <v>A</v>
      </c>
      <c r="AN348" s="64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563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64" t="str">
        <f>VLOOKUP(A349,Classification!A:B,2,FALSE)</f>
        <v>A</v>
      </c>
      <c r="AN349" s="64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424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64" t="str">
        <f>VLOOKUP(A350,Classification!A:B,2,FALSE)</f>
        <v>A</v>
      </c>
      <c r="AN350" s="64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450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64" t="str">
        <f>VLOOKUP(A351,Classification!A:B,2,FALSE)</f>
        <v>A</v>
      </c>
      <c r="AN351" s="64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483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64" t="str">
        <f>VLOOKUP(A352,Classification!A:B,2,FALSE)</f>
        <v>A</v>
      </c>
      <c r="AN352" s="64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468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64" t="str">
        <f>VLOOKUP(A353,Classification!A:B,2,FALSE)</f>
        <v>A</v>
      </c>
      <c r="AN353" s="64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443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64" t="str">
        <f>VLOOKUP(A354,Classification!A:B,2,FALSE)</f>
        <v>A</v>
      </c>
      <c r="AN354" s="64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500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64" t="str">
        <f>VLOOKUP(A355,Classification!A:B,2,FALSE)</f>
        <v>A</v>
      </c>
      <c r="AN355" s="64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557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64" t="str">
        <f>VLOOKUP(A356,Classification!A:B,2,FALSE)</f>
        <v>A</v>
      </c>
      <c r="AN356" s="64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676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64" t="str">
        <f>VLOOKUP(A357,Classification!A:B,2,FALSE)</f>
        <v>O</v>
      </c>
      <c r="AN357" s="64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446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64" t="str">
        <f>VLOOKUP(A358,Classification!A:B,2,FALSE)</f>
        <v>A</v>
      </c>
      <c r="AN358" s="64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546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64" t="str">
        <f>VLOOKUP(A359,Classification!A:B,2,FALSE)</f>
        <v>A</v>
      </c>
      <c r="AN359" s="64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465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64" t="str">
        <f>VLOOKUP(A360,Classification!A:B,2,FALSE)</f>
        <v>A</v>
      </c>
      <c r="AN360" s="64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558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64" t="str">
        <f>VLOOKUP(A361,Classification!A:B,2,FALSE)</f>
        <v>A</v>
      </c>
      <c r="AN361" s="64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427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64" t="str">
        <f>VLOOKUP(A362,Classification!A:B,2,FALSE)</f>
        <v>A</v>
      </c>
      <c r="AN362" s="64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545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64" t="str">
        <f>VLOOKUP(A363,Classification!A:B,2,FALSE)</f>
        <v>A</v>
      </c>
      <c r="AN363" s="64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564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64" t="str">
        <f>VLOOKUP(A364,Classification!A:B,2,FALSE)</f>
        <v>A</v>
      </c>
      <c r="AN364" s="64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547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64" t="str">
        <f>VLOOKUP(A365,Classification!A:B,2,FALSE)</f>
        <v>A</v>
      </c>
      <c r="AN365" s="64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422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64" t="str">
        <f>VLOOKUP(A366,Classification!A:B,2,FALSE)</f>
        <v>A</v>
      </c>
      <c r="AN366" s="64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436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64" t="str">
        <f>VLOOKUP(A367,Classification!A:B,2,FALSE)</f>
        <v>A</v>
      </c>
      <c r="AN367" s="64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495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64" t="str">
        <f>VLOOKUP(A368,Classification!A:B,2,FALSE)</f>
        <v>A</v>
      </c>
      <c r="AN368" s="64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548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64" t="str">
        <f>VLOOKUP(A369,Classification!A:B,2,FALSE)</f>
        <v>A</v>
      </c>
      <c r="AN369" s="64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550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64" t="str">
        <f>VLOOKUP(A370,Classification!A:B,2,FALSE)</f>
        <v>A</v>
      </c>
      <c r="AN370" s="64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1533</v>
      </c>
    </row>
    <row r="371" spans="1:58" s="3" customFormat="1" x14ac:dyDescent="0.2">
      <c r="A371" s="3" t="s">
        <v>551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64" t="str">
        <f>VLOOKUP(A371,Classification!A:B,2,FALSE)</f>
        <v>A</v>
      </c>
      <c r="AN371" s="64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549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64" t="str">
        <f>VLOOKUP(A372,Classification!A:B,2,FALSE)</f>
        <v>A</v>
      </c>
      <c r="AN372" s="64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542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64" t="str">
        <f>VLOOKUP(A373,Classification!A:B,2,FALSE)</f>
        <v>A</v>
      </c>
      <c r="AN373" s="64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392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64" t="str">
        <f>VLOOKUP(A374,Classification!A:B,2,FALSE)</f>
        <v>A</v>
      </c>
      <c r="AN374" s="64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451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64" t="str">
        <f>VLOOKUP(A375,Classification!A:B,2,FALSE)</f>
        <v>A</v>
      </c>
      <c r="AN375" s="64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454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64" t="str">
        <f>VLOOKUP(A376,Classification!A:B,2,FALSE)</f>
        <v>A</v>
      </c>
      <c r="AN376" s="64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447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64" t="str">
        <f>VLOOKUP(A377,Classification!A:B,2,FALSE)</f>
        <v>A</v>
      </c>
      <c r="AN377" s="64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344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64" t="str">
        <f>VLOOKUP(A378,Classification!A:B,2,FALSE)</f>
        <v>A</v>
      </c>
      <c r="AN378" s="64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406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64" t="str">
        <f>VLOOKUP(A379,Classification!A:B,2,FALSE)</f>
        <v>A</v>
      </c>
      <c r="AN379" s="64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431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64" t="str">
        <f>VLOOKUP(A380,Classification!A:B,2,FALSE)</f>
        <v>A</v>
      </c>
      <c r="AN380" s="64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455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64" t="str">
        <f>VLOOKUP(A381,Classification!A:B,2,FALSE)</f>
        <v>A</v>
      </c>
      <c r="AN381" s="64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489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64" t="str">
        <f>VLOOKUP(A382,Classification!A:B,2,FALSE)</f>
        <v>A</v>
      </c>
      <c r="AN382" s="64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490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64" t="str">
        <f>VLOOKUP(A383,Classification!A:B,2,FALSE)</f>
        <v>A</v>
      </c>
      <c r="AN383" s="64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502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64" t="str">
        <f>VLOOKUP(A384,Classification!A:B,2,FALSE)</f>
        <v>A</v>
      </c>
      <c r="AN384" s="64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556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64" t="str">
        <f>VLOOKUP(A385,Classification!A:B,2,FALSE)</f>
        <v>A</v>
      </c>
      <c r="AN385" s="64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297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64" t="str">
        <f>VLOOKUP(A386,Classification!A:B,2,FALSE)</f>
        <v>A</v>
      </c>
      <c r="AN386" s="64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570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64" t="str">
        <f>VLOOKUP(A387,Classification!A:B,2,FALSE)</f>
        <v>A</v>
      </c>
      <c r="AN387" s="64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571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64" t="str">
        <f>VLOOKUP(A388,Classification!A:B,2,FALSE)</f>
        <v>A</v>
      </c>
      <c r="AN388" s="64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572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64" t="str">
        <f>VLOOKUP(A389,Classification!A:B,2,FALSE)</f>
        <v>A</v>
      </c>
      <c r="AN389" s="64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573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64" t="str">
        <f>VLOOKUP(A390,Classification!A:B,2,FALSE)</f>
        <v>A</v>
      </c>
      <c r="AN390" s="64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667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64" t="str">
        <f>VLOOKUP(A391,Classification!A:B,2,FALSE)</f>
        <v>A</v>
      </c>
      <c r="AN391" s="64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650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64" t="str">
        <f>VLOOKUP(A392,Classification!A:B,2,FALSE)</f>
        <v>T</v>
      </c>
      <c r="AN392" s="64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640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581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64" t="str">
        <f>VLOOKUP(A393,Classification!A:B,2,FALSE)</f>
        <v>F</v>
      </c>
      <c r="AN393" s="64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19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648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577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64" t="str">
        <f>VLOOKUP(A394,Classification!A:B,2,FALSE)</f>
        <v>F</v>
      </c>
      <c r="AN394" s="64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6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647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515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64" t="str">
        <f>VLOOKUP(A395,Classification!A:B,2,FALSE)</f>
        <v>F</v>
      </c>
      <c r="AN395" s="64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12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642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506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64" t="str">
        <f>VLOOKUP(A396,Classification!A:B,2,FALSE)</f>
        <v>F</v>
      </c>
      <c r="AN396" s="64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12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645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494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64" t="str">
        <f>VLOOKUP(A397,Classification!A:B,2,FALSE)</f>
        <v>F</v>
      </c>
      <c r="AN397" s="64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6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496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64" t="str">
        <f>VLOOKUP(A398,Classification!A:B,2,FALSE)</f>
        <v>F</v>
      </c>
      <c r="AN398" s="64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19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649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492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64" t="str">
        <f>VLOOKUP(A399,Classification!A:B,2,FALSE)</f>
        <v>F</v>
      </c>
      <c r="AN399" s="64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15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641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488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64" t="str">
        <f>VLOOKUP(A400,Classification!A:B,2,FALSE)</f>
        <v>F</v>
      </c>
      <c r="AN400" s="64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13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644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64" t="str">
        <f>VLOOKUP(A401,Classification!A:B,2,FALSE)</f>
        <v>F</v>
      </c>
      <c r="AN401" s="64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643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465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64" t="str">
        <f>VLOOKUP(A402,Classification!A:B,2,FALSE)</f>
        <v>F</v>
      </c>
      <c r="AN402" s="64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12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646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461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64" t="str">
        <f>VLOOKUP(A403,Classification!A:B,2,FALSE)</f>
        <v>F</v>
      </c>
      <c r="AN403" s="64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12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414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64" t="str">
        <f>VLOOKUP(A404,Classification!A:B,2,FALSE)</f>
        <v>A</v>
      </c>
      <c r="AN404" s="64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671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64" t="str">
        <f>VLOOKUP(A405,Classification!A:B,2,FALSE)</f>
        <v>T</v>
      </c>
      <c r="AN405" s="64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1119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64" t="str">
        <f>VLOOKUP(A406,Classification!A:B,2,FALSE)</f>
        <v>A</v>
      </c>
      <c r="AN406" s="64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64"/>
      <c r="AN407" s="35"/>
      <c r="BA407" s="35"/>
    </row>
    <row r="408" spans="1:57" s="3" customFormat="1" x14ac:dyDescent="0.2">
      <c r="AM408" s="64"/>
      <c r="AN408" s="35"/>
      <c r="BA408" s="35"/>
    </row>
    <row r="409" spans="1:57" s="3" customFormat="1" x14ac:dyDescent="0.2">
      <c r="AM409" s="64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8" priority="6" operator="containsText" text="FALSE">
      <formula>NOT(ISERROR(SEARCH("FALSE",AN2)))</formula>
    </cfRule>
  </conditionalFormatting>
  <conditionalFormatting sqref="AO1:AZ1048576">
    <cfRule type="cellIs" dxfId="27" priority="4" operator="lessThan">
      <formula>1</formula>
    </cfRule>
  </conditionalFormatting>
  <conditionalFormatting sqref="E2:F406">
    <cfRule type="expression" dxfId="26" priority="24">
      <formula>NOT(OR(C2&lt;E2,C2="-",E2="-"))</formula>
    </cfRule>
  </conditionalFormatting>
  <conditionalFormatting sqref="K2:L2 K3 K4:L406">
    <cfRule type="expression" dxfId="25" priority="28">
      <formula>NOT(OR(G2&lt;K2,G2="-",K2="-"))</formula>
    </cfRule>
  </conditionalFormatting>
  <conditionalFormatting sqref="N2:O2 N4:N237 O3:O237 N238:O406">
    <cfRule type="expression" dxfId="24" priority="30">
      <formula>NOT(OR(I2&lt;N2,I2="-",N2="-"))</formula>
    </cfRule>
  </conditionalFormatting>
  <conditionalFormatting sqref="Q2:R406">
    <cfRule type="expression" dxfId="23" priority="32">
      <formula>NOT(OR(K2&lt;Q2,K2="-",Q2="-"))</formula>
    </cfRule>
  </conditionalFormatting>
  <conditionalFormatting sqref="T2:U406">
    <cfRule type="expression" dxfId="22" priority="34">
      <formula>NOT(OR(M2&lt;T2,M2="-",T2="-"))</formula>
    </cfRule>
  </conditionalFormatting>
  <conditionalFormatting sqref="W2:X406">
    <cfRule type="expression" dxfId="21" priority="36">
      <formula>NOT(OR(O2&lt;W2,O2="-",W2="-"))</formula>
    </cfRule>
  </conditionalFormatting>
  <conditionalFormatting sqref="Z2:AA406">
    <cfRule type="expression" dxfId="20" priority="38">
      <formula>NOT(OR(Q2&lt;Z2,Q2="-",Z2="-"))</formula>
    </cfRule>
  </conditionalFormatting>
  <conditionalFormatting sqref="AC2:AD406">
    <cfRule type="expression" dxfId="19" priority="40">
      <formula>NOT(OR(S2&lt;AC2,S2="-",AC2="-"))</formula>
    </cfRule>
  </conditionalFormatting>
  <conditionalFormatting sqref="AF2:AG406">
    <cfRule type="expression" dxfId="18" priority="42">
      <formula>NOT(OR(U2&lt;AF2,U2="-",AF2="-"))</formula>
    </cfRule>
  </conditionalFormatting>
  <conditionalFormatting sqref="AI2:AJ406">
    <cfRule type="expression" dxfId="17" priority="44">
      <formula>NOT(OR(W2&lt;AI2,W2="-",AI2="-"))</formula>
    </cfRule>
  </conditionalFormatting>
  <conditionalFormatting sqref="AL2:AL406">
    <cfRule type="expression" dxfId="16" priority="46">
      <formula>NOT(OR(Y2&lt;AL2,Y2="-",AL2="-"))</formula>
    </cfRule>
  </conditionalFormatting>
  <conditionalFormatting sqref="L3">
    <cfRule type="expression" dxfId="15" priority="2">
      <formula>NOT(OR(H3&lt;L3,H3="-",L3="-"))</formula>
    </cfRule>
  </conditionalFormatting>
  <conditionalFormatting sqref="N3">
    <cfRule type="expression" dxfId="14" priority="3">
      <formula>NOT(OR(I3&lt;N3,I3="-",N3="-"))</formula>
    </cfRule>
  </conditionalFormatting>
  <conditionalFormatting sqref="F2">
    <cfRule type="cellIs" dxfId="13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"/>
  <sheetViews>
    <sheetView zoomScale="151" zoomScaleNormal="151" zoomScalePageLayoutView="151" workbookViewId="0">
      <pane ySplit="1" topLeftCell="A20" activePane="bottomLeft" state="frozenSplit"/>
      <selection pane="bottomLeft" activeCell="Q35" sqref="Q35"/>
    </sheetView>
  </sheetViews>
  <sheetFormatPr baseColWidth="10" defaultColWidth="11" defaultRowHeight="16" x14ac:dyDescent="0.2"/>
  <cols>
    <col min="1" max="1" width="12" style="4" customWidth="1"/>
    <col min="2" max="2" width="2.6640625" style="91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66" customFormat="1" x14ac:dyDescent="0.25">
      <c r="A1" s="66" t="s">
        <v>205</v>
      </c>
      <c r="B1" s="66" t="s">
        <v>291</v>
      </c>
      <c r="C1" s="97" t="s">
        <v>56</v>
      </c>
      <c r="D1" s="45" t="s">
        <v>20</v>
      </c>
      <c r="E1" s="45" t="s">
        <v>125</v>
      </c>
      <c r="F1" s="95" t="s">
        <v>169</v>
      </c>
      <c r="G1" s="95" t="s">
        <v>170</v>
      </c>
      <c r="H1" s="45" t="s">
        <v>122</v>
      </c>
      <c r="I1" s="45" t="s">
        <v>98</v>
      </c>
      <c r="J1" s="45" t="s">
        <v>59</v>
      </c>
      <c r="K1" s="95" t="s">
        <v>1550</v>
      </c>
      <c r="L1" s="95" t="s">
        <v>1554</v>
      </c>
      <c r="M1" s="45" t="s">
        <v>43</v>
      </c>
      <c r="N1" s="45" t="s">
        <v>1553</v>
      </c>
      <c r="O1" s="45" t="s">
        <v>51</v>
      </c>
      <c r="P1" s="45" t="s">
        <v>1555</v>
      </c>
      <c r="Q1" s="62" t="s">
        <v>1535</v>
      </c>
      <c r="R1" s="66" t="s">
        <v>1539</v>
      </c>
      <c r="S1" s="66" t="s">
        <v>1536</v>
      </c>
      <c r="T1" s="66" t="s">
        <v>1537</v>
      </c>
      <c r="U1" s="66" t="s">
        <v>1538</v>
      </c>
      <c r="V1" s="66" t="s">
        <v>1322</v>
      </c>
    </row>
    <row r="2" spans="1:22" s="98" customFormat="1" x14ac:dyDescent="0.25">
      <c r="A2" s="4" t="s">
        <v>1111</v>
      </c>
      <c r="B2" s="91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5">
      <c r="A3" s="4" t="s">
        <v>351</v>
      </c>
      <c r="B3" s="91" t="str">
        <f>VLOOKUP(A3,Classification!A:D,2,FALSE)</f>
        <v>A</v>
      </c>
      <c r="D3" s="91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5">
      <c r="A4" s="4" t="s">
        <v>366</v>
      </c>
      <c r="B4" s="91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5">
      <c r="A5" s="4" t="s">
        <v>1390</v>
      </c>
      <c r="B5" s="91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5">
      <c r="A6" s="4" t="s">
        <v>1391</v>
      </c>
      <c r="B6" s="91" t="str">
        <f>VLOOKUP(A6,Classification!A:D,2,FALSE)</f>
        <v>A</v>
      </c>
      <c r="L6" s="4" t="s">
        <v>129</v>
      </c>
      <c r="M6" s="4" t="s">
        <v>43</v>
      </c>
      <c r="N6" s="4" t="s">
        <v>1553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5">
      <c r="A7" s="4" t="s">
        <v>528</v>
      </c>
      <c r="B7" s="91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5">
      <c r="A8" s="4" t="s">
        <v>529</v>
      </c>
      <c r="B8" s="91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5">
      <c r="A9" s="4" t="s">
        <v>1113</v>
      </c>
      <c r="B9" s="91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5">
      <c r="A10" s="4" t="s">
        <v>1392</v>
      </c>
      <c r="B10" s="91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5">
      <c r="A11" s="4" t="s">
        <v>538</v>
      </c>
      <c r="B11" s="91" t="str">
        <f>VLOOKUP(A11,Classification!A:D,2,FALSE)</f>
        <v>A</v>
      </c>
      <c r="J11" s="91" t="s">
        <v>129</v>
      </c>
      <c r="L11" s="4" t="s">
        <v>129</v>
      </c>
      <c r="M11" s="4" t="s">
        <v>43</v>
      </c>
      <c r="N11" s="4" t="s">
        <v>1553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1563</v>
      </c>
    </row>
    <row r="12" spans="1:22" x14ac:dyDescent="0.25">
      <c r="A12" s="4" t="s">
        <v>545</v>
      </c>
      <c r="B12" s="91" t="str">
        <f>VLOOKUP(A12,Classification!A:D,2,FALSE)</f>
        <v>A</v>
      </c>
      <c r="J12" s="91" t="s">
        <v>129</v>
      </c>
      <c r="L12" s="4" t="s">
        <v>129</v>
      </c>
      <c r="M12" s="4" t="s">
        <v>129</v>
      </c>
      <c r="N12" s="4" t="s">
        <v>1553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5">
      <c r="A13" s="4" t="s">
        <v>548</v>
      </c>
      <c r="B13" s="91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1553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5">
      <c r="A14" s="4" t="s">
        <v>1119</v>
      </c>
      <c r="B14" s="91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5">
      <c r="A15" s="4" t="s">
        <v>296</v>
      </c>
      <c r="B15" s="91" t="str">
        <f>VLOOKUP(A15,Classification!A:D,2,FALSE)</f>
        <v>A</v>
      </c>
      <c r="E15" s="94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5">
      <c r="A16" s="4" t="s">
        <v>1115</v>
      </c>
      <c r="B16" s="91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5">
      <c r="A17" s="4" t="s">
        <v>532</v>
      </c>
      <c r="B17" s="91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5">
      <c r="A18" s="4" t="s">
        <v>1117</v>
      </c>
      <c r="B18" s="91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5">
      <c r="A19" s="4" t="s">
        <v>332</v>
      </c>
      <c r="B19" s="91" t="str">
        <f>VLOOKUP(A19,Classification!A:D,2,FALSE)</f>
        <v>A</v>
      </c>
      <c r="D19" s="4" t="s">
        <v>20</v>
      </c>
      <c r="K19" s="94" t="s">
        <v>1550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5">
      <c r="A20" s="4" t="s">
        <v>1393</v>
      </c>
      <c r="B20" s="91" t="str">
        <f>VLOOKUP(A20,Classification!A:D,2,FALSE)</f>
        <v>A</v>
      </c>
      <c r="D20" s="4" t="s">
        <v>20</v>
      </c>
      <c r="J20" s="21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5">
      <c r="A21" s="4" t="s">
        <v>1394</v>
      </c>
      <c r="B21" s="91" t="str">
        <f>VLOOKUP(A21,Classification!A:D,2,FALSE)</f>
        <v>A</v>
      </c>
      <c r="D21" s="4" t="s">
        <v>20</v>
      </c>
      <c r="J21" s="21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5">
      <c r="A22" s="4" t="s">
        <v>208</v>
      </c>
      <c r="B22" s="91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5">
      <c r="A23" s="4" t="s">
        <v>209</v>
      </c>
      <c r="B23" s="91" t="str">
        <f>VLOOKUP(A23,Classification!A:D,2,FALSE)</f>
        <v>A</v>
      </c>
      <c r="C23" s="94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5">
      <c r="A24" s="4" t="s">
        <v>339</v>
      </c>
      <c r="B24" s="91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5">
      <c r="A25" s="4" t="s">
        <v>340</v>
      </c>
      <c r="B25" s="91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5">
      <c r="A26" s="4" t="s">
        <v>1105</v>
      </c>
      <c r="B26" s="91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5">
      <c r="A27" s="4" t="s">
        <v>342</v>
      </c>
      <c r="B27" s="91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5">
      <c r="A28" s="4" t="s">
        <v>385</v>
      </c>
      <c r="B28" s="91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5">
      <c r="A29" s="2" t="s">
        <v>389</v>
      </c>
      <c r="B29" s="91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90"/>
      <c r="W29" s="90"/>
      <c r="X29" s="64"/>
      <c r="Y29" s="90"/>
      <c r="Z29" s="90"/>
      <c r="AA29" s="90"/>
      <c r="AB29" s="90"/>
      <c r="AC29" s="64"/>
      <c r="AD29" s="90"/>
    </row>
    <row r="30" spans="1:30" x14ac:dyDescent="0.25">
      <c r="A30" s="4" t="s">
        <v>471</v>
      </c>
      <c r="B30" s="91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5">
      <c r="A31" s="4" t="s">
        <v>1109</v>
      </c>
      <c r="B31" s="91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93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5">
      <c r="A32" s="4" t="s">
        <v>297</v>
      </c>
      <c r="B32" s="91" t="str">
        <f>VLOOKUP(A32,Classification!A:D,2,FALSE)</f>
        <v>A</v>
      </c>
      <c r="E32" s="94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5">
      <c r="A33" s="4" t="s">
        <v>1107</v>
      </c>
      <c r="B33" s="91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5">
      <c r="A34" s="4" t="s">
        <v>319</v>
      </c>
      <c r="B34" s="91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5">
      <c r="A35" s="4" t="s">
        <v>375</v>
      </c>
      <c r="B35" s="91" t="str">
        <f>VLOOKUP(A35,Classification!A:D,2,FALSE)</f>
        <v>A</v>
      </c>
      <c r="L35" s="4" t="s">
        <v>129</v>
      </c>
      <c r="O35" s="4" t="s">
        <v>51</v>
      </c>
      <c r="Q35" s="35" t="str">
        <f>MID(VLOOKUP($A35,Seqs!$A:$B,2,FALSE),VLOOKUP($A35,'NonXtal_SegEnds_Prot#'!$A:$AL,10,FALSE),1)</f>
        <v>D</v>
      </c>
      <c r="R35" s="2" t="str">
        <f>MID(VLOOKUP($A35,Seqs!$A:$B,2,FALSE),VLOOKUP($A35,'NonXtal_SegEnds_Prot#'!$A:$AL,10,FALSE)+6,1)</f>
        <v>I</v>
      </c>
      <c r="S35" s="2" t="str">
        <f>MID(VLOOKUP($A35,Seqs!$A:$B,2,FALSE),VLOOKUP($A35,'NonXtal_SegEnds_Prot#'!$A:$AL,10,FALSE)+7,1)</f>
        <v>F</v>
      </c>
      <c r="T35" s="2" t="str">
        <f>MID(VLOOKUP($A35,Seqs!$A:$B,2,FALSE),VLOOKUP($A35,'NonXtal_SegEnds_Prot#'!$A:$AL,10,FALSE)+8,1)</f>
        <v>V</v>
      </c>
      <c r="U35" s="2" t="str">
        <f>MID(VLOOKUP($A35,Seqs!$A:$B,2,FALSE),VLOOKUP($A35,'NonXtal_SegEnds_Prot#'!$A:$AL,10,FALSE)+9,1)</f>
        <v>Y</v>
      </c>
    </row>
    <row r="36" spans="1:21" x14ac:dyDescent="0.25">
      <c r="A36" s="4" t="s">
        <v>213</v>
      </c>
      <c r="B36" s="91" t="str">
        <f>VLOOKUP(A36,Classification!A:D,2,FALSE)</f>
        <v>B1</v>
      </c>
      <c r="F36" s="94" t="s">
        <v>169</v>
      </c>
      <c r="G36" s="94" t="s">
        <v>170</v>
      </c>
      <c r="L36" s="4" t="s">
        <v>129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T</v>
      </c>
      <c r="S36" s="2" t="str">
        <f>MID(VLOOKUP($A36,Seqs!$A:$B,2,FALSE),VLOOKUP($A36,'NonXtal_SegEnds_Prot#'!$A:$AL,10,FALSE)+7,1)</f>
        <v>W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V</v>
      </c>
    </row>
    <row r="37" spans="1:21" x14ac:dyDescent="0.25">
      <c r="A37" s="4" t="s">
        <v>206</v>
      </c>
      <c r="B37" s="91" t="str">
        <f>VLOOKUP(A37,Classification!A:D,2,FALSE)</f>
        <v>B1</v>
      </c>
      <c r="L37" s="4" t="s">
        <v>1554</v>
      </c>
      <c r="M37" s="4" t="s">
        <v>129</v>
      </c>
      <c r="O37" s="4" t="s">
        <v>51</v>
      </c>
      <c r="P37" s="4" t="s">
        <v>129</v>
      </c>
      <c r="Q37" s="35" t="str">
        <f>MID(VLOOKUP($A37,Seqs!$A:$B,2,FALSE),VLOOKUP($A37,'NonXtal_SegEnds_Prot#'!$A:$AL,10,FALSE),1)</f>
        <v>F</v>
      </c>
      <c r="R37" s="2" t="str">
        <f>MID(VLOOKUP($A37,Seqs!$A:$B,2,FALSE),VLOOKUP($A37,'NonXtal_SegEnds_Prot#'!$A:$AL,10,FALSE)+6,1)</f>
        <v>S</v>
      </c>
      <c r="S37" s="2" t="str">
        <f>MID(VLOOKUP($A37,Seqs!$A:$B,2,FALSE),VLOOKUP($A37,'NonXtal_SegEnds_Prot#'!$A:$AL,10,FALSE)+7,1)</f>
        <v>V</v>
      </c>
      <c r="T37" s="2" t="str">
        <f>MID(VLOOKUP($A37,Seqs!$A:$B,2,FALSE),VLOOKUP($A37,'NonXtal_SegEnds_Prot#'!$A:$AL,10,FALSE)+8,1)</f>
        <v>L</v>
      </c>
      <c r="U37" s="2" t="str">
        <f>MID(VLOOKUP($A37,Seqs!$A:$B,2,FALSE),VLOOKUP($A37,'NonXtal_SegEnds_Prot#'!$A:$AL,10,FALSE)+9,1)</f>
        <v>V</v>
      </c>
    </row>
    <row r="38" spans="1:21" x14ac:dyDescent="0.25">
      <c r="A38" s="4" t="s">
        <v>223</v>
      </c>
      <c r="B38" s="91" t="str">
        <f>VLOOKUP(A38,Classification!A:D,2,FALSE)</f>
        <v>C</v>
      </c>
      <c r="L38" s="4" t="s">
        <v>129</v>
      </c>
      <c r="M38" s="4" t="s">
        <v>129</v>
      </c>
      <c r="P38" s="4" t="s">
        <v>1555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P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T</v>
      </c>
    </row>
    <row r="39" spans="1:21" x14ac:dyDescent="0.25">
      <c r="A39" s="4" t="s">
        <v>224</v>
      </c>
      <c r="B39" s="91" t="str">
        <f>VLOOKUP(A39,Classification!A:D,2,FALSE)</f>
        <v>C</v>
      </c>
      <c r="L39" s="4" t="s">
        <v>129</v>
      </c>
      <c r="M39" s="4" t="s">
        <v>129</v>
      </c>
      <c r="P39" s="4" t="s">
        <v>1555</v>
      </c>
      <c r="Q39" s="35" t="str">
        <f>MID(VLOOKUP($A39,Seqs!$A:$B,2,FALSE),VLOOKUP($A39,'NonXtal_SegEnds_Prot#'!$A:$AL,10,FALSE),1)</f>
        <v>I</v>
      </c>
      <c r="R39" s="2" t="str">
        <f>MID(VLOOKUP($A39,Seqs!$A:$B,2,FALSE),VLOOKUP($A39,'NonXtal_SegEnds_Prot#'!$A:$AL,10,FALSE)+6,1)</f>
        <v>C</v>
      </c>
      <c r="S39" s="2" t="str">
        <f>MID(VLOOKUP($A39,Seqs!$A:$B,2,FALSE),VLOOKUP($A39,'NonXtal_SegEnds_Prot#'!$A:$AL,10,FALSE)+7,1)</f>
        <v>T</v>
      </c>
      <c r="T39" s="2" t="str">
        <f>MID(VLOOKUP($A39,Seqs!$A:$B,2,FALSE),VLOOKUP($A39,'NonXtal_SegEnds_Prot#'!$A:$AL,10,FALSE)+8,1)</f>
        <v>F</v>
      </c>
      <c r="U39" s="2" t="str">
        <f>MID(VLOOKUP($A39,Seqs!$A:$B,2,FALSE),VLOOKUP($A39,'NonXtal_SegEnds_Prot#'!$A:$AL,10,FALSE)+9,1)</f>
        <v>C</v>
      </c>
    </row>
    <row r="40" spans="1:21" x14ac:dyDescent="0.25">
      <c r="A40" s="4" t="s">
        <v>207</v>
      </c>
      <c r="B40" s="91" t="str">
        <f>VLOOKUP(A40,Classification!A:D,2,FALSE)</f>
        <v>F</v>
      </c>
      <c r="L40" s="4" t="s">
        <v>1554</v>
      </c>
      <c r="M40" s="4" t="s">
        <v>129</v>
      </c>
      <c r="P40" s="4" t="s">
        <v>129</v>
      </c>
      <c r="Q40" s="35" t="str">
        <f>MID(VLOOKUP($A40,Seqs!$A:$B,2,FALSE),VLOOKUP($A40,'NonXtal_SegEnds_Prot#'!$A:$AL,10,FALSE),1)</f>
        <v>A</v>
      </c>
      <c r="R40" s="2" t="str">
        <f>MID(VLOOKUP($A40,Seqs!$A:$B,2,FALSE),VLOOKUP($A40,'NonXtal_SegEnds_Prot#'!$A:$AL,10,FALSE)+6,1)</f>
        <v>S</v>
      </c>
      <c r="S40" s="2" t="str">
        <f>MID(VLOOKUP($A40,Seqs!$A:$B,2,FALSE),VLOOKUP($A40,'NonXtal_SegEnds_Prot#'!$A:$AL,10,FALSE)+7,1)</f>
        <v>I</v>
      </c>
      <c r="T40" s="2" t="str">
        <f>MID(VLOOKUP($A40,Seqs!$A:$B,2,FALSE),VLOOKUP($A40,'NonXtal_SegEnds_Prot#'!$A:$AL,10,FALSE)+8,1)</f>
        <v>G</v>
      </c>
      <c r="U40" s="2" t="str">
        <f>MID(VLOOKUP($A40,Seqs!$A:$B,2,FALSE),VLOOKUP($A40,'NonXtal_SegEnds_Prot#'!$A:$AL,10,FALSE)+9,1)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12" priority="7" operator="equal">
      <formula>"P"</formula>
    </cfRule>
  </conditionalFormatting>
  <conditionalFormatting sqref="R1:S1048576">
    <cfRule type="cellIs" dxfId="11" priority="5" operator="equal">
      <formula>"G"</formula>
    </cfRule>
  </conditionalFormatting>
  <conditionalFormatting sqref="AA29:AB29">
    <cfRule type="cellIs" dxfId="10" priority="4" operator="equal">
      <formula>"P"</formula>
    </cfRule>
  </conditionalFormatting>
  <conditionalFormatting sqref="Y29">
    <cfRule type="cellIs" dxfId="9" priority="2" operator="equal">
      <formula>"W"</formula>
    </cfRule>
    <cfRule type="cellIs" dxfId="8" priority="3" operator="equal">
      <formula>"G"</formula>
    </cfRule>
  </conditionalFormatting>
  <conditionalFormatting sqref="AC29:AD29">
    <cfRule type="cellIs" dxfId="7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123" activePane="bottomLeft" state="frozenSplit"/>
      <selection pane="bottomLeft" activeCell="A138" sqref="A138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91" customWidth="1"/>
    <col min="20" max="22" width="5" style="91" bestFit="1" customWidth="1"/>
    <col min="23" max="23" width="4.6640625" style="63" bestFit="1" customWidth="1"/>
    <col min="24" max="26" width="4.6640625" style="91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66" customFormat="1" x14ac:dyDescent="0.2">
      <c r="A1" s="66" t="s">
        <v>205</v>
      </c>
      <c r="B1" s="96" t="s">
        <v>1422</v>
      </c>
      <c r="C1" s="66" t="s">
        <v>291</v>
      </c>
      <c r="D1" s="97" t="s">
        <v>56</v>
      </c>
      <c r="E1" s="45" t="s">
        <v>20</v>
      </c>
      <c r="F1" s="45" t="s">
        <v>125</v>
      </c>
      <c r="G1" s="95" t="s">
        <v>169</v>
      </c>
      <c r="H1" s="95" t="s">
        <v>170</v>
      </c>
      <c r="I1" s="45" t="s">
        <v>122</v>
      </c>
      <c r="J1" s="45" t="s">
        <v>98</v>
      </c>
      <c r="K1" s="45" t="s">
        <v>59</v>
      </c>
      <c r="L1" s="95" t="s">
        <v>1550</v>
      </c>
      <c r="M1" s="95" t="s">
        <v>1554</v>
      </c>
      <c r="N1" s="45" t="s">
        <v>43</v>
      </c>
      <c r="O1" s="45" t="s">
        <v>1553</v>
      </c>
      <c r="P1" s="45" t="s">
        <v>51</v>
      </c>
      <c r="Q1" s="45" t="s">
        <v>1555</v>
      </c>
      <c r="R1" s="62" t="s">
        <v>1540</v>
      </c>
      <c r="S1" s="66" t="s">
        <v>1541</v>
      </c>
      <c r="T1" s="66" t="s">
        <v>1542</v>
      </c>
      <c r="U1" s="66" t="s">
        <v>1543</v>
      </c>
      <c r="V1" s="66" t="s">
        <v>1544</v>
      </c>
      <c r="W1" s="62" t="s">
        <v>1545</v>
      </c>
      <c r="X1" s="62" t="s">
        <v>1546</v>
      </c>
      <c r="Y1" s="62" t="s">
        <v>1547</v>
      </c>
      <c r="Z1" s="62" t="s">
        <v>1548</v>
      </c>
      <c r="AA1" s="66" t="s">
        <v>1549</v>
      </c>
      <c r="AB1" s="62" t="s">
        <v>1551</v>
      </c>
      <c r="AC1" s="66" t="s">
        <v>1552</v>
      </c>
    </row>
    <row r="2" spans="1:29" s="2" customFormat="1" x14ac:dyDescent="0.2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64" t="str">
        <f>MID(VLOOKUP($A2,Seqs!$A:$B,2,FALSE),VLOOKUP($A2,'NonXtal_SegEnds_Prot#'!A:AL,10,FALSE),1)</f>
        <v>D</v>
      </c>
      <c r="S2" s="90" t="str">
        <f>MID(VLOOKUP($A2,Seqs!$A:$B,2,FALSE),VLOOKUP($A2,'NonXtal_SegEnds_Prot#'!A:AL,10,FALSE)+6,1)</f>
        <v>F</v>
      </c>
      <c r="T2" s="90" t="str">
        <f>MID(VLOOKUP($A2,Seqs!$A:$B,2,FALSE),VLOOKUP($A2,'NonXtal_SegEnds_Prot#'!A:AL,10,FALSE)+7,1)</f>
        <v>V</v>
      </c>
      <c r="U2" s="90" t="str">
        <f>MID(VLOOKUP($A2,Seqs!$A:$B,2,FALSE),VLOOKUP($A2,'NonXtal_SegEnds_Prot#'!A:AL,10,FALSE)+8,1)</f>
        <v>M</v>
      </c>
      <c r="V2" s="90" t="str">
        <f>MID(VLOOKUP($A2,Seqs!$A:$B,2,FALSE),VLOOKUP($A2,'NonXtal_SegEnds_Prot#'!A:AL,10,FALSE)+9,1)</f>
        <v>P</v>
      </c>
      <c r="W2" s="64" t="str">
        <f>MID(VLOOKUP($A2,Seqs!$A:$B,2,FALSE),VLOOKUP($A2,'NonXtal_SegEnds_Prot#'!$A:$AL,22,FALSE)+6,1)</f>
        <v>I</v>
      </c>
      <c r="X2" s="90" t="str">
        <f>MID(VLOOKUP($A2,Seqs!$A:$B,2,FALSE),VLOOKUP($A2,'NonXtal_SegEnds_Prot#'!$A:$AL,22,FALSE)+7,1)</f>
        <v>A</v>
      </c>
      <c r="Y2" s="90" t="str">
        <f>MID(VLOOKUP($A2,Seqs!$A:$B,2,FALSE),VLOOKUP($A2,'NonXtal_SegEnds_Prot#'!$A:$AL,22,FALSE)+8,1)</f>
        <v>I</v>
      </c>
      <c r="Z2" s="90" t="str">
        <f>MID(VLOOKUP($A2,Seqs!$A:$B,2,FALSE),VLOOKUP($A2,'NonXtal_SegEnds_Prot#'!$A:$AL,22,FALSE)+9,1)</f>
        <v>P</v>
      </c>
      <c r="AA2" s="90" t="str">
        <f>MID(VLOOKUP($A2,Seqs!$A:$B,2,FALSE),VLOOKUP($A2,'NonXtal_SegEnds_Prot#'!$A:$AL,22,FALSE)+10,1)</f>
        <v>V</v>
      </c>
      <c r="AB2" s="64" t="str">
        <f>MID(VLOOKUP($A2,Seqs!$A:$B,2,FALSE),VLOOKUP($A2,'NonXtal_SegEnds_Prot#'!$A:$AL,28,FALSE)-4,1)</f>
        <v>A</v>
      </c>
      <c r="AC2" s="90" t="str">
        <f>MID(VLOOKUP($A2,Seqs!$A:$B,2,FALSE),VLOOKUP($A2,'NonXtal_SegEnds_Prot#'!$A:$AL,28,FALSE),1)</f>
        <v>P</v>
      </c>
    </row>
    <row r="3" spans="1:29" s="2" customFormat="1" x14ac:dyDescent="0.2">
      <c r="A3" s="2" t="s">
        <v>353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64" t="str">
        <f>MID(VLOOKUP($A3,Seqs!$A:$B,2,FALSE),VLOOKUP($A3,'NonXtal_SegEnds_Prot#'!A:AL,10,FALSE),1)</f>
        <v>D</v>
      </c>
      <c r="S3" s="90" t="str">
        <f>MID(VLOOKUP($A3,Seqs!$A:$B,2,FALSE),VLOOKUP($A3,'NonXtal_SegEnds_Prot#'!A:AL,10,FALSE)+6,1)</f>
        <v>T</v>
      </c>
      <c r="T3" s="90" t="str">
        <f>MID(VLOOKUP($A3,Seqs!$A:$B,2,FALSE),VLOOKUP($A3,'NonXtal_SegEnds_Prot#'!A:AL,10,FALSE)+7,1)</f>
        <v>L</v>
      </c>
      <c r="U3" s="90" t="str">
        <f>MID(VLOOKUP($A3,Seqs!$A:$B,2,FALSE),VLOOKUP($A3,'NonXtal_SegEnds_Prot#'!A:AL,10,FALSE)+8,1)</f>
        <v>P</v>
      </c>
      <c r="V3" s="90" t="str">
        <f>MID(VLOOKUP($A3,Seqs!$A:$B,2,FALSE),VLOOKUP($A3,'NonXtal_SegEnds_Prot#'!A:AL,10,FALSE)+9,1)</f>
        <v>L</v>
      </c>
      <c r="W3" s="64" t="str">
        <f>MID(VLOOKUP($A3,Seqs!$A:$B,2,FALSE),VLOOKUP($A3,'NonXtal_SegEnds_Prot#'!$A:$AL,22,FALSE)+6,1)</f>
        <v>L</v>
      </c>
      <c r="X3" s="90" t="str">
        <f>MID(VLOOKUP($A3,Seqs!$A:$B,2,FALSE),VLOOKUP($A3,'NonXtal_SegEnds_Prot#'!$A:$AL,22,FALSE)+7,1)</f>
        <v>A</v>
      </c>
      <c r="Y3" s="90" t="str">
        <f>MID(VLOOKUP($A3,Seqs!$A:$B,2,FALSE),VLOOKUP($A3,'NonXtal_SegEnds_Prot#'!$A:$AL,22,FALSE)+8,1)</f>
        <v>M</v>
      </c>
      <c r="Z3" s="90" t="str">
        <f>MID(VLOOKUP($A3,Seqs!$A:$B,2,FALSE),VLOOKUP($A3,'NonXtal_SegEnds_Prot#'!$A:$AL,22,FALSE)+9,1)</f>
        <v>P</v>
      </c>
      <c r="AA3" s="90" t="str">
        <f>MID(VLOOKUP($A3,Seqs!$A:$B,2,FALSE),VLOOKUP($A3,'NonXtal_SegEnds_Prot#'!$A:$AL,22,FALSE)+10,1)</f>
        <v>V</v>
      </c>
      <c r="AB3" s="64" t="str">
        <f>MID(VLOOKUP($A3,Seqs!$A:$B,2,FALSE),VLOOKUP($A3,'NonXtal_SegEnds_Prot#'!$A:$AL,28,FALSE)-4,1)</f>
        <v>G</v>
      </c>
      <c r="AC3" s="90" t="str">
        <f>MID(VLOOKUP($A3,Seqs!$A:$B,2,FALSE),VLOOKUP($A3,'NonXtal_SegEnds_Prot#'!$A:$AL,28,FALSE),1)</f>
        <v>P</v>
      </c>
    </row>
    <row r="4" spans="1:29" s="2" customFormat="1" x14ac:dyDescent="0.2">
      <c r="A4" s="2" t="s">
        <v>356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64" t="str">
        <f>MID(VLOOKUP($A4,Seqs!$A:$B,2,FALSE),VLOOKUP($A4,'NonXtal_SegEnds_Prot#'!A:AL,10,FALSE),1)</f>
        <v>D</v>
      </c>
      <c r="S4" s="90" t="str">
        <f>MID(VLOOKUP($A4,Seqs!$A:$B,2,FALSE),VLOOKUP($A4,'NonXtal_SegEnds_Prot#'!A:AL,10,FALSE)+6,1)</f>
        <v>T</v>
      </c>
      <c r="T4" s="90" t="str">
        <f>MID(VLOOKUP($A4,Seqs!$A:$B,2,FALSE),VLOOKUP($A4,'NonXtal_SegEnds_Prot#'!A:AL,10,FALSE)+7,1)</f>
        <v>C</v>
      </c>
      <c r="U4" s="90" t="str">
        <f>MID(VLOOKUP($A4,Seqs!$A:$B,2,FALSE),VLOOKUP($A4,'NonXtal_SegEnds_Prot#'!A:AL,10,FALSE)+8,1)</f>
        <v>V</v>
      </c>
      <c r="V4" s="90" t="str">
        <f>MID(VLOOKUP($A4,Seqs!$A:$B,2,FALSE),VLOOKUP($A4,'NonXtal_SegEnds_Prot#'!A:AL,10,FALSE)+9,1)</f>
        <v>P</v>
      </c>
      <c r="W4" s="64" t="str">
        <f>MID(VLOOKUP($A4,Seqs!$A:$B,2,FALSE),VLOOKUP($A4,'NonXtal_SegEnds_Prot#'!$A:$AL,22,FALSE)+6,1)</f>
        <v>F</v>
      </c>
      <c r="X4" s="90" t="str">
        <f>MID(VLOOKUP($A4,Seqs!$A:$B,2,FALSE),VLOOKUP($A4,'NonXtal_SegEnds_Prot#'!$A:$AL,22,FALSE)+7,1)</f>
        <v>A</v>
      </c>
      <c r="Y4" s="90" t="str">
        <f>MID(VLOOKUP($A4,Seqs!$A:$B,2,FALSE),VLOOKUP($A4,'NonXtal_SegEnds_Prot#'!$A:$AL,22,FALSE)+8,1)</f>
        <v>L</v>
      </c>
      <c r="Z4" s="90" t="str">
        <f>MID(VLOOKUP($A4,Seqs!$A:$B,2,FALSE),VLOOKUP($A4,'NonXtal_SegEnds_Prot#'!$A:$AL,22,FALSE)+9,1)</f>
        <v>P</v>
      </c>
      <c r="AA4" s="90" t="str">
        <f>MID(VLOOKUP($A4,Seqs!$A:$B,2,FALSE),VLOOKUP($A4,'NonXtal_SegEnds_Prot#'!$A:$AL,22,FALSE)+10,1)</f>
        <v>E</v>
      </c>
      <c r="AB4" s="64" t="str">
        <f>MID(VLOOKUP($A4,Seqs!$A:$B,2,FALSE),VLOOKUP($A4,'NonXtal_SegEnds_Prot#'!$A:$AL,28,FALSE)-4,1)</f>
        <v>F</v>
      </c>
      <c r="AC4" s="90" t="str">
        <f>MID(VLOOKUP($A4,Seqs!$A:$B,2,FALSE),VLOOKUP($A4,'NonXtal_SegEnds_Prot#'!$A:$AL,28,FALSE),1)</f>
        <v>P</v>
      </c>
    </row>
    <row r="5" spans="1:29" s="2" customFormat="1" x14ac:dyDescent="0.2">
      <c r="A5" s="2" t="s">
        <v>362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64" t="str">
        <f>MID(VLOOKUP($A5,Seqs!$A:$B,2,FALSE),VLOOKUP($A5,'NonXtal_SegEnds_Prot#'!A:AL,10,FALSE),1)</f>
        <v>D</v>
      </c>
      <c r="S5" s="90" t="str">
        <f>MID(VLOOKUP($A5,Seqs!$A:$B,2,FALSE),VLOOKUP($A5,'NonXtal_SegEnds_Prot#'!A:AL,10,FALSE)+6,1)</f>
        <v>T</v>
      </c>
      <c r="T5" s="90" t="str">
        <f>MID(VLOOKUP($A5,Seqs!$A:$B,2,FALSE),VLOOKUP($A5,'NonXtal_SegEnds_Prot#'!A:AL,10,FALSE)+7,1)</f>
        <v>L</v>
      </c>
      <c r="U5" s="90" t="str">
        <f>MID(VLOOKUP($A5,Seqs!$A:$B,2,FALSE),VLOOKUP($A5,'NonXtal_SegEnds_Prot#'!A:AL,10,FALSE)+8,1)</f>
        <v>P</v>
      </c>
      <c r="V5" s="90" t="str">
        <f>MID(VLOOKUP($A5,Seqs!$A:$B,2,FALSE),VLOOKUP($A5,'NonXtal_SegEnds_Prot#'!A:AL,10,FALSE)+9,1)</f>
        <v>F</v>
      </c>
      <c r="W5" s="64" t="str">
        <f>MID(VLOOKUP($A5,Seqs!$A:$B,2,FALSE),VLOOKUP($A5,'NonXtal_SegEnds_Prot#'!$A:$AL,22,FALSE)+6,1)</f>
        <v>L</v>
      </c>
      <c r="X5" s="90" t="str">
        <f>MID(VLOOKUP($A5,Seqs!$A:$B,2,FALSE),VLOOKUP($A5,'NonXtal_SegEnds_Prot#'!$A:$AL,22,FALSE)+7,1)</f>
        <v>A</v>
      </c>
      <c r="Y5" s="90" t="str">
        <f>MID(VLOOKUP($A5,Seqs!$A:$B,2,FALSE),VLOOKUP($A5,'NonXtal_SegEnds_Prot#'!$A:$AL,22,FALSE)+8,1)</f>
        <v>L</v>
      </c>
      <c r="Z5" s="90" t="str">
        <f>MID(VLOOKUP($A5,Seqs!$A:$B,2,FALSE),VLOOKUP($A5,'NonXtal_SegEnds_Prot#'!$A:$AL,22,FALSE)+9,1)</f>
        <v>P</v>
      </c>
      <c r="AA5" s="90" t="str">
        <f>MID(VLOOKUP($A5,Seqs!$A:$B,2,FALSE),VLOOKUP($A5,'NonXtal_SegEnds_Prot#'!$A:$AL,22,FALSE)+10,1)</f>
        <v>A</v>
      </c>
      <c r="AB5" s="64" t="str">
        <f>MID(VLOOKUP($A5,Seqs!$A:$B,2,FALSE),VLOOKUP($A5,'NonXtal_SegEnds_Prot#'!$A:$AL,28,FALSE)-4,1)</f>
        <v>G</v>
      </c>
      <c r="AC5" s="90" t="str">
        <f>MID(VLOOKUP($A5,Seqs!$A:$B,2,FALSE),VLOOKUP($A5,'NonXtal_SegEnds_Prot#'!$A:$AL,28,FALSE),1)</f>
        <v>P</v>
      </c>
    </row>
    <row r="6" spans="1:29" s="2" customFormat="1" x14ac:dyDescent="0.2">
      <c r="A6" s="2" t="s">
        <v>364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64" t="str">
        <f>MID(VLOOKUP($A6,Seqs!$A:$B,2,FALSE),VLOOKUP($A6,'NonXtal_SegEnds_Prot#'!A:AL,10,FALSE),1)</f>
        <v>D</v>
      </c>
      <c r="S6" s="90" t="str">
        <f>MID(VLOOKUP($A6,Seqs!$A:$B,2,FALSE),VLOOKUP($A6,'NonXtal_SegEnds_Prot#'!A:AL,10,FALSE)+6,1)</f>
        <v>T</v>
      </c>
      <c r="T6" s="90" t="str">
        <f>MID(VLOOKUP($A6,Seqs!$A:$B,2,FALSE),VLOOKUP($A6,'NonXtal_SegEnds_Prot#'!A:AL,10,FALSE)+7,1)</f>
        <v>L</v>
      </c>
      <c r="U6" s="90" t="str">
        <f>MID(VLOOKUP($A6,Seqs!$A:$B,2,FALSE),VLOOKUP($A6,'NonXtal_SegEnds_Prot#'!A:AL,10,FALSE)+8,1)</f>
        <v>P</v>
      </c>
      <c r="V6" s="90" t="str">
        <f>MID(VLOOKUP($A6,Seqs!$A:$B,2,FALSE),VLOOKUP($A6,'NonXtal_SegEnds_Prot#'!A:AL,10,FALSE)+9,1)</f>
        <v>F</v>
      </c>
      <c r="W6" s="64" t="str">
        <f>MID(VLOOKUP($A6,Seqs!$A:$B,2,FALSE),VLOOKUP($A6,'NonXtal_SegEnds_Prot#'!$A:$AL,22,FALSE)+6,1)</f>
        <v>A</v>
      </c>
      <c r="X6" s="90" t="str">
        <f>MID(VLOOKUP($A6,Seqs!$A:$B,2,FALSE),VLOOKUP($A6,'NonXtal_SegEnds_Prot#'!$A:$AL,22,FALSE)+7,1)</f>
        <v>A</v>
      </c>
      <c r="Y6" s="90" t="str">
        <f>MID(VLOOKUP($A6,Seqs!$A:$B,2,FALSE),VLOOKUP($A6,'NonXtal_SegEnds_Prot#'!$A:$AL,22,FALSE)+8,1)</f>
        <v>L</v>
      </c>
      <c r="Z6" s="90" t="str">
        <f>MID(VLOOKUP($A6,Seqs!$A:$B,2,FALSE),VLOOKUP($A6,'NonXtal_SegEnds_Prot#'!$A:$AL,22,FALSE)+9,1)</f>
        <v>P</v>
      </c>
      <c r="AA6" s="90" t="str">
        <f>MID(VLOOKUP($A6,Seqs!$A:$B,2,FALSE),VLOOKUP($A6,'NonXtal_SegEnds_Prot#'!$A:$AL,22,FALSE)+10,1)</f>
        <v>E</v>
      </c>
      <c r="AB6" s="64" t="str">
        <f>MID(VLOOKUP($A6,Seqs!$A:$B,2,FALSE),VLOOKUP($A6,'NonXtal_SegEnds_Prot#'!$A:$AL,28,FALSE)-4,1)</f>
        <v>C</v>
      </c>
      <c r="AC6" s="90" t="str">
        <f>MID(VLOOKUP($A6,Seqs!$A:$B,2,FALSE),VLOOKUP($A6,'NonXtal_SegEnds_Prot#'!$A:$AL,28,FALSE),1)</f>
        <v>P</v>
      </c>
    </row>
    <row r="7" spans="1:29" s="2" customFormat="1" x14ac:dyDescent="0.2">
      <c r="A7" s="2" t="s">
        <v>377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64" t="str">
        <f>MID(VLOOKUP($A7,Seqs!$A:$B,2,FALSE),VLOOKUP($A7,'NonXtal_SegEnds_Prot#'!A:AL,10,FALSE),1)</f>
        <v>D</v>
      </c>
      <c r="S7" s="90" t="str">
        <f>MID(VLOOKUP($A7,Seqs!$A:$B,2,FALSE),VLOOKUP($A7,'NonXtal_SegEnds_Prot#'!A:AL,10,FALSE)+6,1)</f>
        <v>T</v>
      </c>
      <c r="T7" s="90" t="str">
        <f>MID(VLOOKUP($A7,Seqs!$A:$B,2,FALSE),VLOOKUP($A7,'NonXtal_SegEnds_Prot#'!A:AL,10,FALSE)+7,1)</f>
        <v>L</v>
      </c>
      <c r="U7" s="90" t="str">
        <f>MID(VLOOKUP($A7,Seqs!$A:$B,2,FALSE),VLOOKUP($A7,'NonXtal_SegEnds_Prot#'!A:AL,10,FALSE)+8,1)</f>
        <v>P</v>
      </c>
      <c r="V7" s="90" t="str">
        <f>MID(VLOOKUP($A7,Seqs!$A:$B,2,FALSE),VLOOKUP($A7,'NonXtal_SegEnds_Prot#'!A:AL,10,FALSE)+9,1)</f>
        <v>F</v>
      </c>
      <c r="W7" s="64" t="str">
        <f>MID(VLOOKUP($A7,Seqs!$A:$B,2,FALSE),VLOOKUP($A7,'NonXtal_SegEnds_Prot#'!$A:$AL,22,FALSE)+6,1)</f>
        <v>V</v>
      </c>
      <c r="X7" s="90" t="str">
        <f>MID(VLOOKUP($A7,Seqs!$A:$B,2,FALSE),VLOOKUP($A7,'NonXtal_SegEnds_Prot#'!$A:$AL,22,FALSE)+7,1)</f>
        <v>A</v>
      </c>
      <c r="Y7" s="90" t="str">
        <f>MID(VLOOKUP($A7,Seqs!$A:$B,2,FALSE),VLOOKUP($A7,'NonXtal_SegEnds_Prot#'!$A:$AL,22,FALSE)+8,1)</f>
        <v>A</v>
      </c>
      <c r="Z7" s="90" t="str">
        <f>MID(VLOOKUP($A7,Seqs!$A:$B,2,FALSE),VLOOKUP($A7,'NonXtal_SegEnds_Prot#'!$A:$AL,22,FALSE)+9,1)</f>
        <v>P</v>
      </c>
      <c r="AA7" s="90" t="str">
        <f>MID(VLOOKUP($A7,Seqs!$A:$B,2,FALSE),VLOOKUP($A7,'NonXtal_SegEnds_Prot#'!$A:$AL,22,FALSE)+10,1)</f>
        <v>Q</v>
      </c>
      <c r="AB7" s="64" t="str">
        <f>MID(VLOOKUP($A7,Seqs!$A:$B,2,FALSE),VLOOKUP($A7,'NonXtal_SegEnds_Prot#'!$A:$AL,28,FALSE)-4,1)</f>
        <v>G</v>
      </c>
      <c r="AC7" s="90" t="str">
        <f>MID(VLOOKUP($A7,Seqs!$A:$B,2,FALSE),VLOOKUP($A7,'NonXtal_SegEnds_Prot#'!$A:$AL,28,FALSE),1)</f>
        <v>P</v>
      </c>
    </row>
    <row r="8" spans="1:29" s="2" customFormat="1" x14ac:dyDescent="0.2">
      <c r="A8" s="2" t="s">
        <v>379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64" t="str">
        <f>MID(VLOOKUP($A8,Seqs!$A:$B,2,FALSE),VLOOKUP($A8,'NonXtal_SegEnds_Prot#'!A:AL,10,FALSE),1)</f>
        <v>D</v>
      </c>
      <c r="S8" s="90" t="str">
        <f>MID(VLOOKUP($A8,Seqs!$A:$B,2,FALSE),VLOOKUP($A8,'NonXtal_SegEnds_Prot#'!A:AL,10,FALSE)+6,1)</f>
        <v>T</v>
      </c>
      <c r="T8" s="90" t="str">
        <f>MID(VLOOKUP($A8,Seqs!$A:$B,2,FALSE),VLOOKUP($A8,'NonXtal_SegEnds_Prot#'!A:AL,10,FALSE)+7,1)</f>
        <v>L</v>
      </c>
      <c r="U8" s="90" t="str">
        <f>MID(VLOOKUP($A8,Seqs!$A:$B,2,FALSE),VLOOKUP($A8,'NonXtal_SegEnds_Prot#'!A:AL,10,FALSE)+8,1)</f>
        <v>P</v>
      </c>
      <c r="V8" s="90" t="str">
        <f>MID(VLOOKUP($A8,Seqs!$A:$B,2,FALSE),VLOOKUP($A8,'NonXtal_SegEnds_Prot#'!A:AL,10,FALSE)+9,1)</f>
        <v>I</v>
      </c>
      <c r="W8" s="64" t="str">
        <f>MID(VLOOKUP($A8,Seqs!$A:$B,2,FALSE),VLOOKUP($A8,'NonXtal_SegEnds_Prot#'!$A:$AL,22,FALSE)+6,1)</f>
        <v>L</v>
      </c>
      <c r="X8" s="90" t="str">
        <f>MID(VLOOKUP($A8,Seqs!$A:$B,2,FALSE),VLOOKUP($A8,'NonXtal_SegEnds_Prot#'!$A:$AL,22,FALSE)+7,1)</f>
        <v>A</v>
      </c>
      <c r="Y8" s="90" t="str">
        <f>MID(VLOOKUP($A8,Seqs!$A:$B,2,FALSE),VLOOKUP($A8,'NonXtal_SegEnds_Prot#'!$A:$AL,22,FALSE)+8,1)</f>
        <v>L</v>
      </c>
      <c r="Z8" s="90" t="str">
        <f>MID(VLOOKUP($A8,Seqs!$A:$B,2,FALSE),VLOOKUP($A8,'NonXtal_SegEnds_Prot#'!$A:$AL,22,FALSE)+9,1)</f>
        <v>P</v>
      </c>
      <c r="AA8" s="90" t="str">
        <f>MID(VLOOKUP($A8,Seqs!$A:$B,2,FALSE),VLOOKUP($A8,'NonXtal_SegEnds_Prot#'!$A:$AL,22,FALSE)+10,1)</f>
        <v>V</v>
      </c>
      <c r="AB8" s="64" t="str">
        <f>MID(VLOOKUP($A8,Seqs!$A:$B,2,FALSE),VLOOKUP($A8,'NonXtal_SegEnds_Prot#'!$A:$AL,28,FALSE)-4,1)</f>
        <v>G</v>
      </c>
      <c r="AC8" s="90" t="str">
        <f>MID(VLOOKUP($A8,Seqs!$A:$B,2,FALSE),VLOOKUP($A8,'NonXtal_SegEnds_Prot#'!$A:$AL,28,FALSE),1)</f>
        <v>P</v>
      </c>
    </row>
    <row r="9" spans="1:29" s="2" customFormat="1" x14ac:dyDescent="0.2">
      <c r="A9" s="2" t="s">
        <v>380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64" t="str">
        <f>MID(VLOOKUP($A9,Seqs!$A:$B,2,FALSE),VLOOKUP($A9,'NonXtal_SegEnds_Prot#'!A:AL,10,FALSE),1)</f>
        <v>D</v>
      </c>
      <c r="S9" s="90" t="str">
        <f>MID(VLOOKUP($A9,Seqs!$A:$B,2,FALSE),VLOOKUP($A9,'NonXtal_SegEnds_Prot#'!A:AL,10,FALSE)+6,1)</f>
        <v>T</v>
      </c>
      <c r="T9" s="90" t="str">
        <f>MID(VLOOKUP($A9,Seqs!$A:$B,2,FALSE),VLOOKUP($A9,'NonXtal_SegEnds_Prot#'!A:AL,10,FALSE)+7,1)</f>
        <v>L</v>
      </c>
      <c r="U9" s="90" t="str">
        <f>MID(VLOOKUP($A9,Seqs!$A:$B,2,FALSE),VLOOKUP($A9,'NonXtal_SegEnds_Prot#'!A:AL,10,FALSE)+8,1)</f>
        <v>P</v>
      </c>
      <c r="V9" s="90" t="str">
        <f>MID(VLOOKUP($A9,Seqs!$A:$B,2,FALSE),VLOOKUP($A9,'NonXtal_SegEnds_Prot#'!A:AL,10,FALSE)+9,1)</f>
        <v>L</v>
      </c>
      <c r="W9" s="64" t="str">
        <f>MID(VLOOKUP($A9,Seqs!$A:$B,2,FALSE),VLOOKUP($A9,'NonXtal_SegEnds_Prot#'!$A:$AL,22,FALSE)+6,1)</f>
        <v>F</v>
      </c>
      <c r="X9" s="90" t="str">
        <f>MID(VLOOKUP($A9,Seqs!$A:$B,2,FALSE),VLOOKUP($A9,'NonXtal_SegEnds_Prot#'!$A:$AL,22,FALSE)+7,1)</f>
        <v>A</v>
      </c>
      <c r="Y9" s="90" t="str">
        <f>MID(VLOOKUP($A9,Seqs!$A:$B,2,FALSE),VLOOKUP($A9,'NonXtal_SegEnds_Prot#'!$A:$AL,22,FALSE)+8,1)</f>
        <v>L</v>
      </c>
      <c r="Z9" s="90" t="str">
        <f>MID(VLOOKUP($A9,Seqs!$A:$B,2,FALSE),VLOOKUP($A9,'NonXtal_SegEnds_Prot#'!$A:$AL,22,FALSE)+9,1)</f>
        <v>P</v>
      </c>
      <c r="AA9" s="90" t="str">
        <f>MID(VLOOKUP($A9,Seqs!$A:$B,2,FALSE),VLOOKUP($A9,'NonXtal_SegEnds_Prot#'!$A:$AL,22,FALSE)+10,1)</f>
        <v>D</v>
      </c>
      <c r="AB9" s="64" t="str">
        <f>MID(VLOOKUP($A9,Seqs!$A:$B,2,FALSE),VLOOKUP($A9,'NonXtal_SegEnds_Prot#'!$A:$AL,28,FALSE)-4,1)</f>
        <v>G</v>
      </c>
      <c r="AC9" s="90" t="str">
        <f>MID(VLOOKUP($A9,Seqs!$A:$B,2,FALSE),VLOOKUP($A9,'NonXtal_SegEnds_Prot#'!$A:$AL,28,FALSE),1)</f>
        <v>P</v>
      </c>
    </row>
    <row r="10" spans="1:29" s="2" customFormat="1" x14ac:dyDescent="0.2">
      <c r="A10" s="2" t="s">
        <v>381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64" t="str">
        <f>MID(VLOOKUP($A10,Seqs!$A:$B,2,FALSE),VLOOKUP($A10,'NonXtal_SegEnds_Prot#'!A:AL,10,FALSE),1)</f>
        <v>D</v>
      </c>
      <c r="S10" s="90" t="str">
        <f>MID(VLOOKUP($A10,Seqs!$A:$B,2,FALSE),VLOOKUP($A10,'NonXtal_SegEnds_Prot#'!A:AL,10,FALSE)+6,1)</f>
        <v>I</v>
      </c>
      <c r="T10" s="90" t="str">
        <f>MID(VLOOKUP($A10,Seqs!$A:$B,2,FALSE),VLOOKUP($A10,'NonXtal_SegEnds_Prot#'!A:AL,10,FALSE)+7,1)</f>
        <v>L</v>
      </c>
      <c r="U10" s="90" t="str">
        <f>MID(VLOOKUP($A10,Seqs!$A:$B,2,FALSE),VLOOKUP($A10,'NonXtal_SegEnds_Prot#'!A:AL,10,FALSE)+8,1)</f>
        <v>P</v>
      </c>
      <c r="V10" s="90" t="str">
        <f>MID(VLOOKUP($A10,Seqs!$A:$B,2,FALSE),VLOOKUP($A10,'NonXtal_SegEnds_Prot#'!A:AL,10,FALSE)+9,1)</f>
        <v>F</v>
      </c>
      <c r="W10" s="64" t="str">
        <f>MID(VLOOKUP($A10,Seqs!$A:$B,2,FALSE),VLOOKUP($A10,'NonXtal_SegEnds_Prot#'!$A:$AL,22,FALSE)+6,1)</f>
        <v>L</v>
      </c>
      <c r="X10" s="90" t="str">
        <f>MID(VLOOKUP($A10,Seqs!$A:$B,2,FALSE),VLOOKUP($A10,'NonXtal_SegEnds_Prot#'!$A:$AL,22,FALSE)+7,1)</f>
        <v>A</v>
      </c>
      <c r="Y10" s="90" t="str">
        <f>MID(VLOOKUP($A10,Seqs!$A:$B,2,FALSE),VLOOKUP($A10,'NonXtal_SegEnds_Prot#'!$A:$AL,22,FALSE)+8,1)</f>
        <v>L</v>
      </c>
      <c r="Z10" s="90" t="str">
        <f>MID(VLOOKUP($A10,Seqs!$A:$B,2,FALSE),VLOOKUP($A10,'NonXtal_SegEnds_Prot#'!$A:$AL,22,FALSE)+9,1)</f>
        <v>P</v>
      </c>
      <c r="AA10" s="90" t="str">
        <f>MID(VLOOKUP($A10,Seqs!$A:$B,2,FALSE),VLOOKUP($A10,'NonXtal_SegEnds_Prot#'!$A:$AL,22,FALSE)+10,1)</f>
        <v>E</v>
      </c>
      <c r="AB10" s="64" t="str">
        <f>MID(VLOOKUP($A10,Seqs!$A:$B,2,FALSE),VLOOKUP($A10,'NonXtal_SegEnds_Prot#'!$A:$AL,28,FALSE)-4,1)</f>
        <v>G</v>
      </c>
      <c r="AC10" s="90" t="str">
        <f>MID(VLOOKUP($A10,Seqs!$A:$B,2,FALSE),VLOOKUP($A10,'NonXtal_SegEnds_Prot#'!$A:$AL,28,FALSE),1)</f>
        <v>P</v>
      </c>
    </row>
    <row r="11" spans="1:29" s="2" customFormat="1" x14ac:dyDescent="0.2">
      <c r="A11" s="2" t="s">
        <v>386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64" t="str">
        <f>MID(VLOOKUP($A11,Seqs!$A:$B,2,FALSE),VLOOKUP($A11,'NonXtal_SegEnds_Prot#'!A:AL,10,FALSE),1)</f>
        <v>D</v>
      </c>
      <c r="S11" s="90" t="str">
        <f>MID(VLOOKUP($A11,Seqs!$A:$B,2,FALSE),VLOOKUP($A11,'NonXtal_SegEnds_Prot#'!A:AL,10,FALSE)+6,1)</f>
        <v>L</v>
      </c>
      <c r="T11" s="90" t="str">
        <f>MID(VLOOKUP($A11,Seqs!$A:$B,2,FALSE),VLOOKUP($A11,'NonXtal_SegEnds_Prot#'!A:AL,10,FALSE)+7,1)</f>
        <v>V</v>
      </c>
      <c r="U11" s="90" t="str">
        <f>MID(VLOOKUP($A11,Seqs!$A:$B,2,FALSE),VLOOKUP($A11,'NonXtal_SegEnds_Prot#'!A:AL,10,FALSE)+8,1)</f>
        <v>L</v>
      </c>
      <c r="V11" s="90" t="str">
        <f>MID(VLOOKUP($A11,Seqs!$A:$B,2,FALSE),VLOOKUP($A11,'NonXtal_SegEnds_Prot#'!A:AL,10,FALSE)+9,1)</f>
        <v>P</v>
      </c>
      <c r="W11" s="64" t="str">
        <f>MID(VLOOKUP($A11,Seqs!$A:$B,2,FALSE),VLOOKUP($A11,'NonXtal_SegEnds_Prot#'!$A:$AL,22,FALSE)+6,1)</f>
        <v>V</v>
      </c>
      <c r="X11" s="90" t="str">
        <f>MID(VLOOKUP($A11,Seqs!$A:$B,2,FALSE),VLOOKUP($A11,'NonXtal_SegEnds_Prot#'!$A:$AL,22,FALSE)+7,1)</f>
        <v>A</v>
      </c>
      <c r="Y11" s="90" t="str">
        <f>MID(VLOOKUP($A11,Seqs!$A:$B,2,FALSE),VLOOKUP($A11,'NonXtal_SegEnds_Prot#'!$A:$AL,22,FALSE)+8,1)</f>
        <v>A</v>
      </c>
      <c r="Z11" s="90" t="str">
        <f>MID(VLOOKUP($A11,Seqs!$A:$B,2,FALSE),VLOOKUP($A11,'NonXtal_SegEnds_Prot#'!$A:$AL,22,FALSE)+9,1)</f>
        <v>P</v>
      </c>
      <c r="AA11" s="90" t="str">
        <f>MID(VLOOKUP($A11,Seqs!$A:$B,2,FALSE),VLOOKUP($A11,'NonXtal_SegEnds_Prot#'!$A:$AL,22,FALSE)+10,1)</f>
        <v>V</v>
      </c>
      <c r="AB11" s="64" t="str">
        <f>MID(VLOOKUP($A11,Seqs!$A:$B,2,FALSE),VLOOKUP($A11,'NonXtal_SegEnds_Prot#'!$A:$AL,28,FALSE)-4,1)</f>
        <v>S</v>
      </c>
      <c r="AC11" s="90" t="str">
        <f>MID(VLOOKUP($A11,Seqs!$A:$B,2,FALSE),VLOOKUP($A11,'NonXtal_SegEnds_Prot#'!$A:$AL,28,FALSE),1)</f>
        <v>P</v>
      </c>
    </row>
    <row r="12" spans="1:29" s="2" customFormat="1" x14ac:dyDescent="0.2">
      <c r="A12" s="2" t="s">
        <v>388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64" t="str">
        <f>MID(VLOOKUP($A12,Seqs!$A:$B,2,FALSE),VLOOKUP($A12,'NonXtal_SegEnds_Prot#'!A:AL,10,FALSE),1)</f>
        <v>D</v>
      </c>
      <c r="S12" s="90" t="str">
        <f>MID(VLOOKUP($A12,Seqs!$A:$B,2,FALSE),VLOOKUP($A12,'NonXtal_SegEnds_Prot#'!A:AL,10,FALSE)+6,1)</f>
        <v>I</v>
      </c>
      <c r="T12" s="90" t="str">
        <f>MID(VLOOKUP($A12,Seqs!$A:$B,2,FALSE),VLOOKUP($A12,'NonXtal_SegEnds_Prot#'!A:AL,10,FALSE)+7,1)</f>
        <v>D</v>
      </c>
      <c r="U12" s="90" t="str">
        <f>MID(VLOOKUP($A12,Seqs!$A:$B,2,FALSE),VLOOKUP($A12,'NonXtal_SegEnds_Prot#'!A:AL,10,FALSE)+8,1)</f>
        <v>L</v>
      </c>
      <c r="V12" s="90" t="str">
        <f>MID(VLOOKUP($A12,Seqs!$A:$B,2,FALSE),VLOOKUP($A12,'NonXtal_SegEnds_Prot#'!A:AL,10,FALSE)+9,1)</f>
        <v>P</v>
      </c>
      <c r="W12" s="64" t="str">
        <f>MID(VLOOKUP($A12,Seqs!$A:$B,2,FALSE),VLOOKUP($A12,'NonXtal_SegEnds_Prot#'!$A:$AL,22,FALSE)+6,1)</f>
        <v>L</v>
      </c>
      <c r="X12" s="90" t="str">
        <f>MID(VLOOKUP($A12,Seqs!$A:$B,2,FALSE),VLOOKUP($A12,'NonXtal_SegEnds_Prot#'!$A:$AL,22,FALSE)+7,1)</f>
        <v>A</v>
      </c>
      <c r="Y12" s="90" t="str">
        <f>MID(VLOOKUP($A12,Seqs!$A:$B,2,FALSE),VLOOKUP($A12,'NonXtal_SegEnds_Prot#'!$A:$AL,22,FALSE)+8,1)</f>
        <v>I</v>
      </c>
      <c r="Z12" s="90" t="str">
        <f>MID(VLOOKUP($A12,Seqs!$A:$B,2,FALSE),VLOOKUP($A12,'NonXtal_SegEnds_Prot#'!$A:$AL,22,FALSE)+9,1)</f>
        <v>P</v>
      </c>
      <c r="AA12" s="90" t="str">
        <f>MID(VLOOKUP($A12,Seqs!$A:$B,2,FALSE),VLOOKUP($A12,'NonXtal_SegEnds_Prot#'!$A:$AL,22,FALSE)+10,1)</f>
        <v>E</v>
      </c>
      <c r="AB12" s="64" t="str">
        <f>MID(VLOOKUP($A12,Seqs!$A:$B,2,FALSE),VLOOKUP($A12,'NonXtal_SegEnds_Prot#'!$A:$AL,28,FALSE)-4,1)</f>
        <v>Y</v>
      </c>
      <c r="AC12" s="90" t="str">
        <f>MID(VLOOKUP($A12,Seqs!$A:$B,2,FALSE),VLOOKUP($A12,'NonXtal_SegEnds_Prot#'!$A:$AL,28,FALSE),1)</f>
        <v>P</v>
      </c>
    </row>
    <row r="13" spans="1:29" s="2" customFormat="1" x14ac:dyDescent="0.2">
      <c r="A13" s="2" t="s">
        <v>389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64" t="str">
        <f>MID(VLOOKUP($A13,Seqs!$A:$B,2,FALSE),VLOOKUP($A13,'NonXtal_SegEnds_Prot#'!A:AL,10,FALSE),1)</f>
        <v>D</v>
      </c>
      <c r="S13" s="90" t="str">
        <f>MID(VLOOKUP($A13,Seqs!$A:$B,2,FALSE),VLOOKUP($A13,'NonXtal_SegEnds_Prot#'!A:AL,10,FALSE)+6,1)</f>
        <v>I</v>
      </c>
      <c r="T13" s="90" t="str">
        <f>MID(VLOOKUP($A13,Seqs!$A:$B,2,FALSE),VLOOKUP($A13,'NonXtal_SegEnds_Prot#'!A:AL,10,FALSE)+7,1)</f>
        <v>D</v>
      </c>
      <c r="U13" s="90" t="str">
        <f>MID(VLOOKUP($A13,Seqs!$A:$B,2,FALSE),VLOOKUP($A13,'NonXtal_SegEnds_Prot#'!A:AL,10,FALSE)+8,1)</f>
        <v>I</v>
      </c>
      <c r="V13" s="90" t="str">
        <f>MID(VLOOKUP($A13,Seqs!$A:$B,2,FALSE),VLOOKUP($A13,'NonXtal_SegEnds_Prot#'!A:AL,10,FALSE)+9,1)</f>
        <v>P</v>
      </c>
      <c r="W13" s="64" t="str">
        <f>MID(VLOOKUP($A13,Seqs!$A:$B,2,FALSE),VLOOKUP($A13,'NonXtal_SegEnds_Prot#'!$A:$AL,22,FALSE)+6,1)</f>
        <v>L</v>
      </c>
      <c r="X13" s="90" t="str">
        <f>MID(VLOOKUP($A13,Seqs!$A:$B,2,FALSE),VLOOKUP($A13,'NonXtal_SegEnds_Prot#'!$A:$AL,22,FALSE)+7,1)</f>
        <v>A</v>
      </c>
      <c r="Y13" s="90" t="str">
        <f>MID(VLOOKUP($A13,Seqs!$A:$B,2,FALSE),VLOOKUP($A13,'NonXtal_SegEnds_Prot#'!$A:$AL,22,FALSE)+8,1)</f>
        <v>V</v>
      </c>
      <c r="Z13" s="90" t="str">
        <f>MID(VLOOKUP($A13,Seqs!$A:$B,2,FALSE),VLOOKUP($A13,'NonXtal_SegEnds_Prot#'!$A:$AL,22,FALSE)+9,1)</f>
        <v>P</v>
      </c>
      <c r="AA13" s="90" t="str">
        <f>MID(VLOOKUP($A13,Seqs!$A:$B,2,FALSE),VLOOKUP($A13,'NonXtal_SegEnds_Prot#'!$A:$AL,22,FALSE)+10,1)</f>
        <v>E</v>
      </c>
      <c r="AB13" s="64" t="str">
        <f>MID(VLOOKUP($A13,Seqs!$A:$B,2,FALSE),VLOOKUP($A13,'NonXtal_SegEnds_Prot#'!$A:$AL,28,FALSE)-4,1)</f>
        <v>Y</v>
      </c>
      <c r="AC13" s="90" t="str">
        <f>MID(VLOOKUP($A13,Seqs!$A:$B,2,FALSE),VLOOKUP($A13,'NonXtal_SegEnds_Prot#'!$A:$AL,28,FALSE),1)</f>
        <v>P</v>
      </c>
    </row>
    <row r="14" spans="1:29" s="2" customFormat="1" x14ac:dyDescent="0.2">
      <c r="A14" s="2" t="s">
        <v>390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64" t="str">
        <f>MID(VLOOKUP($A14,Seqs!$A:$B,2,FALSE),VLOOKUP($A14,'NonXtal_SegEnds_Prot#'!A:AL,10,FALSE),1)</f>
        <v>D</v>
      </c>
      <c r="S14" s="90" t="str">
        <f>MID(VLOOKUP($A14,Seqs!$A:$B,2,FALSE),VLOOKUP($A14,'NonXtal_SegEnds_Prot#'!A:AL,10,FALSE)+6,1)</f>
        <v>F</v>
      </c>
      <c r="T14" s="90" t="str">
        <f>MID(VLOOKUP($A14,Seqs!$A:$B,2,FALSE),VLOOKUP($A14,'NonXtal_SegEnds_Prot#'!A:AL,10,FALSE)+7,1)</f>
        <v>C</v>
      </c>
      <c r="U14" s="90" t="str">
        <f>MID(VLOOKUP($A14,Seqs!$A:$B,2,FALSE),VLOOKUP($A14,'NonXtal_SegEnds_Prot#'!A:AL,10,FALSE)+8,1)</f>
        <v>L</v>
      </c>
      <c r="V14" s="90" t="str">
        <f>MID(VLOOKUP($A14,Seqs!$A:$B,2,FALSE),VLOOKUP($A14,'NonXtal_SegEnds_Prot#'!A:AL,10,FALSE)+9,1)</f>
        <v>P</v>
      </c>
      <c r="W14" s="64" t="str">
        <f>MID(VLOOKUP($A14,Seqs!$A:$B,2,FALSE),VLOOKUP($A14,'NonXtal_SegEnds_Prot#'!$A:$AL,22,FALSE)+6,1)</f>
        <v>L</v>
      </c>
      <c r="X14" s="90" t="str">
        <f>MID(VLOOKUP($A14,Seqs!$A:$B,2,FALSE),VLOOKUP($A14,'NonXtal_SegEnds_Prot#'!$A:$AL,22,FALSE)+7,1)</f>
        <v>A</v>
      </c>
      <c r="Y14" s="90" t="str">
        <f>MID(VLOOKUP($A14,Seqs!$A:$B,2,FALSE),VLOOKUP($A14,'NonXtal_SegEnds_Prot#'!$A:$AL,22,FALSE)+8,1)</f>
        <v>V</v>
      </c>
      <c r="Z14" s="90" t="str">
        <f>MID(VLOOKUP($A14,Seqs!$A:$B,2,FALSE),VLOOKUP($A14,'NonXtal_SegEnds_Prot#'!$A:$AL,22,FALSE)+9,1)</f>
        <v>P</v>
      </c>
      <c r="AA14" s="90" t="str">
        <f>MID(VLOOKUP($A14,Seqs!$A:$B,2,FALSE),VLOOKUP($A14,'NonXtal_SegEnds_Prot#'!$A:$AL,22,FALSE)+10,1)</f>
        <v>E</v>
      </c>
      <c r="AB14" s="64" t="str">
        <f>MID(VLOOKUP($A14,Seqs!$A:$B,2,FALSE),VLOOKUP($A14,'NonXtal_SegEnds_Prot#'!$A:$AL,28,FALSE)-4,1)</f>
        <v>Y</v>
      </c>
      <c r="AC14" s="90" t="str">
        <f>MID(VLOOKUP($A14,Seqs!$A:$B,2,FALSE),VLOOKUP($A14,'NonXtal_SegEnds_Prot#'!$A:$AL,28,FALSE),1)</f>
        <v>P</v>
      </c>
    </row>
    <row r="15" spans="1:29" s="2" customFormat="1" x14ac:dyDescent="0.2">
      <c r="A15" s="2" t="s">
        <v>393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1553</v>
      </c>
      <c r="P15" s="4" t="s">
        <v>51</v>
      </c>
      <c r="R15" s="64" t="str">
        <f>MID(VLOOKUP($A15,Seqs!$A:$B,2,FALSE),VLOOKUP($A15,'NonXtal_SegEnds_Prot#'!A:AL,10,FALSE),1)</f>
        <v>D</v>
      </c>
      <c r="S15" s="90" t="str">
        <f>MID(VLOOKUP($A15,Seqs!$A:$B,2,FALSE),VLOOKUP($A15,'NonXtal_SegEnds_Prot#'!A:AL,10,FALSE)+6,1)</f>
        <v>A</v>
      </c>
      <c r="T15" s="90" t="str">
        <f>MID(VLOOKUP($A15,Seqs!$A:$B,2,FALSE),VLOOKUP($A15,'NonXtal_SegEnds_Prot#'!A:AL,10,FALSE)+7,1)</f>
        <v>I</v>
      </c>
      <c r="U15" s="90" t="str">
        <f>MID(VLOOKUP($A15,Seqs!$A:$B,2,FALSE),VLOOKUP($A15,'NonXtal_SegEnds_Prot#'!A:AL,10,FALSE)+8,1)</f>
        <v>P</v>
      </c>
      <c r="V15" s="90" t="str">
        <f>MID(VLOOKUP($A15,Seqs!$A:$B,2,FALSE),VLOOKUP($A15,'NonXtal_SegEnds_Prot#'!A:AL,10,FALSE)+9,1)</f>
        <v>L</v>
      </c>
      <c r="W15" s="64" t="str">
        <f>MID(VLOOKUP($A15,Seqs!$A:$B,2,FALSE),VLOOKUP($A15,'NonXtal_SegEnds_Prot#'!$A:$AL,22,FALSE)+6,1)</f>
        <v>A</v>
      </c>
      <c r="X15" s="90" t="str">
        <f>MID(VLOOKUP($A15,Seqs!$A:$B,2,FALSE),VLOOKUP($A15,'NonXtal_SegEnds_Prot#'!$A:$AL,22,FALSE)+7,1)</f>
        <v>A</v>
      </c>
      <c r="Y15" s="90" t="str">
        <f>MID(VLOOKUP($A15,Seqs!$A:$B,2,FALSE),VLOOKUP($A15,'NonXtal_SegEnds_Prot#'!$A:$AL,22,FALSE)+8,1)</f>
        <v>L</v>
      </c>
      <c r="Z15" s="90" t="str">
        <f>MID(VLOOKUP($A15,Seqs!$A:$B,2,FALSE),VLOOKUP($A15,'NonXtal_SegEnds_Prot#'!$A:$AL,22,FALSE)+9,1)</f>
        <v>P</v>
      </c>
      <c r="AA15" s="90" t="str">
        <f>MID(VLOOKUP($A15,Seqs!$A:$B,2,FALSE),VLOOKUP($A15,'NonXtal_SegEnds_Prot#'!$A:$AL,22,FALSE)+10,1)</f>
        <v>L</v>
      </c>
      <c r="AB15" s="64" t="str">
        <f>MID(VLOOKUP($A15,Seqs!$A:$B,2,FALSE),VLOOKUP($A15,'NonXtal_SegEnds_Prot#'!$A:$AL,28,FALSE)-4,1)</f>
        <v>N</v>
      </c>
      <c r="AC15" s="90" t="str">
        <f>MID(VLOOKUP($A15,Seqs!$A:$B,2,FALSE),VLOOKUP($A15,'NonXtal_SegEnds_Prot#'!$A:$AL,28,FALSE),1)</f>
        <v>P</v>
      </c>
    </row>
    <row r="16" spans="1:29" s="2" customFormat="1" x14ac:dyDescent="0.2">
      <c r="A16" s="2" t="s">
        <v>398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64" t="str">
        <f>MID(VLOOKUP($A16,Seqs!$A:$B,2,FALSE),VLOOKUP($A16,'NonXtal_SegEnds_Prot#'!A:AL,10,FALSE),1)</f>
        <v>D</v>
      </c>
      <c r="S16" s="90" t="str">
        <f>MID(VLOOKUP($A16,Seqs!$A:$B,2,FALSE),VLOOKUP($A16,'NonXtal_SegEnds_Prot#'!A:AL,10,FALSE)+6,1)</f>
        <v>F</v>
      </c>
      <c r="T16" s="90" t="str">
        <f>MID(VLOOKUP($A16,Seqs!$A:$B,2,FALSE),VLOOKUP($A16,'NonXtal_SegEnds_Prot#'!A:AL,10,FALSE)+7,1)</f>
        <v>C</v>
      </c>
      <c r="U16" s="90" t="str">
        <f>MID(VLOOKUP($A16,Seqs!$A:$B,2,FALSE),VLOOKUP($A16,'NonXtal_SegEnds_Prot#'!A:AL,10,FALSE)+8,1)</f>
        <v>I</v>
      </c>
      <c r="V16" s="90" t="str">
        <f>MID(VLOOKUP($A16,Seqs!$A:$B,2,FALSE),VLOOKUP($A16,'NonXtal_SegEnds_Prot#'!A:AL,10,FALSE)+9,1)</f>
        <v>P</v>
      </c>
      <c r="W16" s="64" t="str">
        <f>MID(VLOOKUP($A16,Seqs!$A:$B,2,FALSE),VLOOKUP($A16,'NonXtal_SegEnds_Prot#'!$A:$AL,22,FALSE)+6,1)</f>
        <v>M</v>
      </c>
      <c r="X16" s="90" t="str">
        <f>MID(VLOOKUP($A16,Seqs!$A:$B,2,FALSE),VLOOKUP($A16,'NonXtal_SegEnds_Prot#'!$A:$AL,22,FALSE)+7,1)</f>
        <v>A</v>
      </c>
      <c r="Y16" s="90" t="str">
        <f>MID(VLOOKUP($A16,Seqs!$A:$B,2,FALSE),VLOOKUP($A16,'NonXtal_SegEnds_Prot#'!$A:$AL,22,FALSE)+8,1)</f>
        <v>S</v>
      </c>
      <c r="Z16" s="90" t="str">
        <f>MID(VLOOKUP($A16,Seqs!$A:$B,2,FALSE),VLOOKUP($A16,'NonXtal_SegEnds_Prot#'!$A:$AL,22,FALSE)+9,1)</f>
        <v>P</v>
      </c>
      <c r="AA16" s="90" t="str">
        <f>MID(VLOOKUP($A16,Seqs!$A:$B,2,FALSE),VLOOKUP($A16,'NonXtal_SegEnds_Prot#'!$A:$AL,22,FALSE)+10,1)</f>
        <v>V</v>
      </c>
      <c r="AB16" s="64" t="str">
        <f>MID(VLOOKUP($A16,Seqs!$A:$B,2,FALSE),VLOOKUP($A16,'NonXtal_SegEnds_Prot#'!$A:$AL,28,FALSE)-4,1)</f>
        <v>G</v>
      </c>
      <c r="AC16" s="90" t="str">
        <f>MID(VLOOKUP($A16,Seqs!$A:$B,2,FALSE),VLOOKUP($A16,'NonXtal_SegEnds_Prot#'!$A:$AL,28,FALSE),1)</f>
        <v>P</v>
      </c>
    </row>
    <row r="17" spans="1:29" s="2" customFormat="1" x14ac:dyDescent="0.2">
      <c r="A17" s="2" t="s">
        <v>402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64" t="str">
        <f>MID(VLOOKUP($A17,Seqs!$A:$B,2,FALSE),VLOOKUP($A17,'NonXtal_SegEnds_Prot#'!A:AL,10,FALSE),1)</f>
        <v>D</v>
      </c>
      <c r="S17" s="90" t="str">
        <f>MID(VLOOKUP($A17,Seqs!$A:$B,2,FALSE),VLOOKUP($A17,'NonXtal_SegEnds_Prot#'!A:AL,10,FALSE)+6,1)</f>
        <v>C</v>
      </c>
      <c r="T17" s="90" t="str">
        <f>MID(VLOOKUP($A17,Seqs!$A:$B,2,FALSE),VLOOKUP($A17,'NonXtal_SegEnds_Prot#'!A:AL,10,FALSE)+7,1)</f>
        <v>M</v>
      </c>
      <c r="U17" s="90" t="str">
        <f>MID(VLOOKUP($A17,Seqs!$A:$B,2,FALSE),VLOOKUP($A17,'NonXtal_SegEnds_Prot#'!A:AL,10,FALSE)+8,1)</f>
        <v>P</v>
      </c>
      <c r="V17" s="90" t="str">
        <f>MID(VLOOKUP($A17,Seqs!$A:$B,2,FALSE),VLOOKUP($A17,'NonXtal_SegEnds_Prot#'!A:AL,10,FALSE)+9,1)</f>
        <v>L</v>
      </c>
      <c r="W17" s="64" t="str">
        <f>MID(VLOOKUP($A17,Seqs!$A:$B,2,FALSE),VLOOKUP($A17,'NonXtal_SegEnds_Prot#'!$A:$AL,22,FALSE)+6,1)</f>
        <v>S</v>
      </c>
      <c r="X17" s="90" t="str">
        <f>MID(VLOOKUP($A17,Seqs!$A:$B,2,FALSE),VLOOKUP($A17,'NonXtal_SegEnds_Prot#'!$A:$AL,22,FALSE)+7,1)</f>
        <v>A</v>
      </c>
      <c r="Y17" s="90" t="str">
        <f>MID(VLOOKUP($A17,Seqs!$A:$B,2,FALSE),VLOOKUP($A17,'NonXtal_SegEnds_Prot#'!$A:$AL,22,FALSE)+8,1)</f>
        <v>G</v>
      </c>
      <c r="Z17" s="90" t="str">
        <f>MID(VLOOKUP($A17,Seqs!$A:$B,2,FALSE),VLOOKUP($A17,'NonXtal_SegEnds_Prot#'!$A:$AL,22,FALSE)+9,1)</f>
        <v>P</v>
      </c>
      <c r="AA17" s="90" t="str">
        <f>MID(VLOOKUP($A17,Seqs!$A:$B,2,FALSE),VLOOKUP($A17,'NonXtal_SegEnds_Prot#'!$A:$AL,22,FALSE)+10,1)</f>
        <v>I</v>
      </c>
      <c r="AB17" s="64" t="str">
        <f>MID(VLOOKUP($A17,Seqs!$A:$B,2,FALSE),VLOOKUP($A17,'NonXtal_SegEnds_Prot#'!$A:$AL,28,FALSE)-4,1)</f>
        <v>F</v>
      </c>
      <c r="AC17" s="90" t="str">
        <f>MID(VLOOKUP($A17,Seqs!$A:$B,2,FALSE),VLOOKUP($A17,'NonXtal_SegEnds_Prot#'!$A:$AL,28,FALSE),1)</f>
        <v>P</v>
      </c>
    </row>
    <row r="18" spans="1:29" s="2" customFormat="1" x14ac:dyDescent="0.2">
      <c r="A18" s="2" t="s">
        <v>403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64" t="str">
        <f>MID(VLOOKUP($A18,Seqs!$A:$B,2,FALSE),VLOOKUP($A18,'NonXtal_SegEnds_Prot#'!A:AL,10,FALSE),1)</f>
        <v>L</v>
      </c>
      <c r="S18" s="90" t="str">
        <f>MID(VLOOKUP($A18,Seqs!$A:$B,2,FALSE),VLOOKUP($A18,'NonXtal_SegEnds_Prot#'!A:AL,10,FALSE)+6,1)</f>
        <v>V</v>
      </c>
      <c r="T18" s="90" t="str">
        <f>MID(VLOOKUP($A18,Seqs!$A:$B,2,FALSE),VLOOKUP($A18,'NonXtal_SegEnds_Prot#'!A:AL,10,FALSE)+7,1)</f>
        <v>M</v>
      </c>
      <c r="U18" s="90" t="str">
        <f>MID(VLOOKUP($A18,Seqs!$A:$B,2,FALSE),VLOOKUP($A18,'NonXtal_SegEnds_Prot#'!A:AL,10,FALSE)+8,1)</f>
        <v>P</v>
      </c>
      <c r="V18" s="90" t="str">
        <f>MID(VLOOKUP($A18,Seqs!$A:$B,2,FALSE),VLOOKUP($A18,'NonXtal_SegEnds_Prot#'!A:AL,10,FALSE)+9,1)</f>
        <v>L</v>
      </c>
      <c r="W18" s="64" t="str">
        <f>MID(VLOOKUP($A18,Seqs!$A:$B,2,FALSE),VLOOKUP($A18,'NonXtal_SegEnds_Prot#'!$A:$AL,22,FALSE)+6,1)</f>
        <v>F</v>
      </c>
      <c r="X18" s="90" t="str">
        <f>MID(VLOOKUP($A18,Seqs!$A:$B,2,FALSE),VLOOKUP($A18,'NonXtal_SegEnds_Prot#'!$A:$AL,22,FALSE)+7,1)</f>
        <v>A</v>
      </c>
      <c r="Y18" s="90" t="str">
        <f>MID(VLOOKUP($A18,Seqs!$A:$B,2,FALSE),VLOOKUP($A18,'NonXtal_SegEnds_Prot#'!$A:$AL,22,FALSE)+8,1)</f>
        <v>G</v>
      </c>
      <c r="Z18" s="90" t="str">
        <f>MID(VLOOKUP($A18,Seqs!$A:$B,2,FALSE),VLOOKUP($A18,'NonXtal_SegEnds_Prot#'!$A:$AL,22,FALSE)+9,1)</f>
        <v>P</v>
      </c>
      <c r="AA18" s="90" t="str">
        <f>MID(VLOOKUP($A18,Seqs!$A:$B,2,FALSE),VLOOKUP($A18,'NonXtal_SegEnds_Prot#'!$A:$AL,22,FALSE)+10,1)</f>
        <v>Q</v>
      </c>
      <c r="AB18" s="64" t="str">
        <f>MID(VLOOKUP($A18,Seqs!$A:$B,2,FALSE),VLOOKUP($A18,'NonXtal_SegEnds_Prot#'!$A:$AL,28,FALSE)-4,1)</f>
        <v>L</v>
      </c>
      <c r="AC18" s="90" t="str">
        <f>MID(VLOOKUP($A18,Seqs!$A:$B,2,FALSE),VLOOKUP($A18,'NonXtal_SegEnds_Prot#'!$A:$AL,28,FALSE),1)</f>
        <v>P</v>
      </c>
    </row>
    <row r="19" spans="1:29" s="2" customFormat="1" x14ac:dyDescent="0.2">
      <c r="A19" s="2" t="s">
        <v>448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64" t="str">
        <f>MID(VLOOKUP($A19,Seqs!$A:$B,2,FALSE),VLOOKUP($A19,'NonXtal_SegEnds_Prot#'!A:AL,10,FALSE),1)</f>
        <v>D</v>
      </c>
      <c r="S19" s="90" t="str">
        <f>MID(VLOOKUP($A19,Seqs!$A:$B,2,FALSE),VLOOKUP($A19,'NonXtal_SegEnds_Prot#'!A:AL,10,FALSE)+6,1)</f>
        <v>F</v>
      </c>
      <c r="T19" s="90" t="str">
        <f>MID(VLOOKUP($A19,Seqs!$A:$B,2,FALSE),VLOOKUP($A19,'NonXtal_SegEnds_Prot#'!A:AL,10,FALSE)+7,1)</f>
        <v>C</v>
      </c>
      <c r="U19" s="90" t="str">
        <f>MID(VLOOKUP($A19,Seqs!$A:$B,2,FALSE),VLOOKUP($A19,'NonXtal_SegEnds_Prot#'!A:AL,10,FALSE)+8,1)</f>
        <v>L</v>
      </c>
      <c r="V19" s="90" t="str">
        <f>MID(VLOOKUP($A19,Seqs!$A:$B,2,FALSE),VLOOKUP($A19,'NonXtal_SegEnds_Prot#'!A:AL,10,FALSE)+9,1)</f>
        <v>P</v>
      </c>
      <c r="W19" s="64" t="str">
        <f>MID(VLOOKUP($A19,Seqs!$A:$B,2,FALSE),VLOOKUP($A19,'NonXtal_SegEnds_Prot#'!$A:$AL,22,FALSE)+6,1)</f>
        <v>L</v>
      </c>
      <c r="X19" s="90" t="str">
        <f>MID(VLOOKUP($A19,Seqs!$A:$B,2,FALSE),VLOOKUP($A19,'NonXtal_SegEnds_Prot#'!$A:$AL,22,FALSE)+7,1)</f>
        <v>A</v>
      </c>
      <c r="Y19" s="90" t="str">
        <f>MID(VLOOKUP($A19,Seqs!$A:$B,2,FALSE),VLOOKUP($A19,'NonXtal_SegEnds_Prot#'!$A:$AL,22,FALSE)+8,1)</f>
        <v>L</v>
      </c>
      <c r="Z19" s="90" t="str">
        <f>MID(VLOOKUP($A19,Seqs!$A:$B,2,FALSE),VLOOKUP($A19,'NonXtal_SegEnds_Prot#'!$A:$AL,22,FALSE)+9,1)</f>
        <v>P</v>
      </c>
      <c r="AA19" s="90" t="str">
        <f>MID(VLOOKUP($A19,Seqs!$A:$B,2,FALSE),VLOOKUP($A19,'NonXtal_SegEnds_Prot#'!$A:$AL,22,FALSE)+10,1)</f>
        <v>E</v>
      </c>
      <c r="AB19" s="64" t="str">
        <f>MID(VLOOKUP($A19,Seqs!$A:$B,2,FALSE),VLOOKUP($A19,'NonXtal_SegEnds_Prot#'!$A:$AL,28,FALSE)-4,1)</f>
        <v>Y</v>
      </c>
      <c r="AC19" s="90" t="str">
        <f>MID(VLOOKUP($A19,Seqs!$A:$B,2,FALSE),VLOOKUP($A19,'NonXtal_SegEnds_Prot#'!$A:$AL,28,FALSE),1)</f>
        <v>P</v>
      </c>
    </row>
    <row r="20" spans="1:29" s="2" customFormat="1" x14ac:dyDescent="0.2">
      <c r="A20" s="2" t="s">
        <v>449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64" t="str">
        <f>MID(VLOOKUP($A20,Seqs!$A:$B,2,FALSE),VLOOKUP($A20,'NonXtal_SegEnds_Prot#'!A:AL,10,FALSE),1)</f>
        <v>D</v>
      </c>
      <c r="S20" s="90" t="str">
        <f>MID(VLOOKUP($A20,Seqs!$A:$B,2,FALSE),VLOOKUP($A20,'NonXtal_SegEnds_Prot#'!A:AL,10,FALSE)+6,1)</f>
        <v>I</v>
      </c>
      <c r="T20" s="90" t="str">
        <f>MID(VLOOKUP($A20,Seqs!$A:$B,2,FALSE),VLOOKUP($A20,'NonXtal_SegEnds_Prot#'!A:AL,10,FALSE)+7,1)</f>
        <v>G</v>
      </c>
      <c r="U20" s="90" t="str">
        <f>MID(VLOOKUP($A20,Seqs!$A:$B,2,FALSE),VLOOKUP($A20,'NonXtal_SegEnds_Prot#'!A:AL,10,FALSE)+8,1)</f>
        <v>M</v>
      </c>
      <c r="V20" s="90" t="str">
        <f>MID(VLOOKUP($A20,Seqs!$A:$B,2,FALSE),VLOOKUP($A20,'NonXtal_SegEnds_Prot#'!A:AL,10,FALSE)+9,1)</f>
        <v>P</v>
      </c>
      <c r="W20" s="64" t="str">
        <f>MID(VLOOKUP($A20,Seqs!$A:$B,2,FALSE),VLOOKUP($A20,'NonXtal_SegEnds_Prot#'!$A:$AL,22,FALSE)+6,1)</f>
        <v>V</v>
      </c>
      <c r="X20" s="90" t="str">
        <f>MID(VLOOKUP($A20,Seqs!$A:$B,2,FALSE),VLOOKUP($A20,'NonXtal_SegEnds_Prot#'!$A:$AL,22,FALSE)+7,1)</f>
        <v>A</v>
      </c>
      <c r="Y20" s="90" t="str">
        <f>MID(VLOOKUP($A20,Seqs!$A:$B,2,FALSE),VLOOKUP($A20,'NonXtal_SegEnds_Prot#'!$A:$AL,22,FALSE)+8,1)</f>
        <v>L</v>
      </c>
      <c r="Z20" s="90" t="str">
        <f>MID(VLOOKUP($A20,Seqs!$A:$B,2,FALSE),VLOOKUP($A20,'NonXtal_SegEnds_Prot#'!$A:$AL,22,FALSE)+9,1)</f>
        <v>P</v>
      </c>
      <c r="AA20" s="90" t="str">
        <f>MID(VLOOKUP($A20,Seqs!$A:$B,2,FALSE),VLOOKUP($A20,'NonXtal_SegEnds_Prot#'!$A:$AL,22,FALSE)+10,1)</f>
        <v>L</v>
      </c>
      <c r="AB20" s="64" t="str">
        <f>MID(VLOOKUP($A20,Seqs!$A:$B,2,FALSE),VLOOKUP($A20,'NonXtal_SegEnds_Prot#'!$A:$AL,28,FALSE)-4,1)</f>
        <v>A</v>
      </c>
      <c r="AC20" s="90" t="str">
        <f>MID(VLOOKUP($A20,Seqs!$A:$B,2,FALSE),VLOOKUP($A20,'NonXtal_SegEnds_Prot#'!$A:$AL,28,FALSE),1)</f>
        <v>Y</v>
      </c>
    </row>
    <row r="21" spans="1:29" s="2" customFormat="1" x14ac:dyDescent="0.2">
      <c r="A21" s="2" t="s">
        <v>452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64" t="str">
        <f>MID(VLOOKUP($A21,Seqs!$A:$B,2,FALSE),VLOOKUP($A21,'NonXtal_SegEnds_Prot#'!A:AL,10,FALSE),1)</f>
        <v>D</v>
      </c>
      <c r="S21" s="90" t="str">
        <f>MID(VLOOKUP($A21,Seqs!$A:$B,2,FALSE),VLOOKUP($A21,'NonXtal_SegEnds_Prot#'!A:AL,10,FALSE)+6,1)</f>
        <v>C</v>
      </c>
      <c r="T21" s="90" t="str">
        <f>MID(VLOOKUP($A21,Seqs!$A:$B,2,FALSE),VLOOKUP($A21,'NonXtal_SegEnds_Prot#'!A:AL,10,FALSE)+7,1)</f>
        <v>C</v>
      </c>
      <c r="U21" s="90" t="str">
        <f>MID(VLOOKUP($A21,Seqs!$A:$B,2,FALSE),VLOOKUP($A21,'NonXtal_SegEnds_Prot#'!A:AL,10,FALSE)+8,1)</f>
        <v>M</v>
      </c>
      <c r="V21" s="90" t="str">
        <f>MID(VLOOKUP($A21,Seqs!$A:$B,2,FALSE),VLOOKUP($A21,'NonXtal_SegEnds_Prot#'!A:AL,10,FALSE)+9,1)</f>
        <v>P</v>
      </c>
      <c r="W21" s="64" t="str">
        <f>MID(VLOOKUP($A21,Seqs!$A:$B,2,FALSE),VLOOKUP($A21,'NonXtal_SegEnds_Prot#'!$A:$AL,22,FALSE)+6,1)</f>
        <v>I</v>
      </c>
      <c r="X21" s="90" t="str">
        <f>MID(VLOOKUP($A21,Seqs!$A:$B,2,FALSE),VLOOKUP($A21,'NonXtal_SegEnds_Prot#'!$A:$AL,22,FALSE)+7,1)</f>
        <v>A</v>
      </c>
      <c r="Y21" s="90" t="str">
        <f>MID(VLOOKUP($A21,Seqs!$A:$B,2,FALSE),VLOOKUP($A21,'NonXtal_SegEnds_Prot#'!$A:$AL,22,FALSE)+8,1)</f>
        <v>G</v>
      </c>
      <c r="Z21" s="90" t="str">
        <f>MID(VLOOKUP($A21,Seqs!$A:$B,2,FALSE),VLOOKUP($A21,'NonXtal_SegEnds_Prot#'!$A:$AL,22,FALSE)+9,1)</f>
        <v>P</v>
      </c>
      <c r="AA21" s="90" t="str">
        <f>MID(VLOOKUP($A21,Seqs!$A:$B,2,FALSE),VLOOKUP($A21,'NonXtal_SegEnds_Prot#'!$A:$AL,22,FALSE)+10,1)</f>
        <v>S</v>
      </c>
      <c r="AB21" s="64" t="str">
        <f>MID(VLOOKUP($A21,Seqs!$A:$B,2,FALSE),VLOOKUP($A21,'NonXtal_SegEnds_Prot#'!$A:$AL,28,FALSE)-4,1)</f>
        <v>V</v>
      </c>
      <c r="AC21" s="90" t="str">
        <f>MID(VLOOKUP($A21,Seqs!$A:$B,2,FALSE),VLOOKUP($A21,'NonXtal_SegEnds_Prot#'!$A:$AL,28,FALSE),1)</f>
        <v>P</v>
      </c>
    </row>
    <row r="22" spans="1:29" s="2" customFormat="1" x14ac:dyDescent="0.2">
      <c r="A22" s="2" t="s">
        <v>458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64" t="str">
        <f>MID(VLOOKUP($A22,Seqs!$A:$B,2,FALSE),VLOOKUP($A22,'NonXtal_SegEnds_Prot#'!A:AL,10,FALSE),1)</f>
        <v>D</v>
      </c>
      <c r="S22" s="90" t="str">
        <f>MID(VLOOKUP($A22,Seqs!$A:$B,2,FALSE),VLOOKUP($A22,'NonXtal_SegEnds_Prot#'!A:AL,10,FALSE)+6,1)</f>
        <v>L</v>
      </c>
      <c r="T22" s="90" t="str">
        <f>MID(VLOOKUP($A22,Seqs!$A:$B,2,FALSE),VLOOKUP($A22,'NonXtal_SegEnds_Prot#'!A:AL,10,FALSE)+7,1)</f>
        <v>N</v>
      </c>
      <c r="U22" s="90" t="str">
        <f>MID(VLOOKUP($A22,Seqs!$A:$B,2,FALSE),VLOOKUP($A22,'NonXtal_SegEnds_Prot#'!A:AL,10,FALSE)+8,1)</f>
        <v>M</v>
      </c>
      <c r="V22" s="90" t="str">
        <f>MID(VLOOKUP($A22,Seqs!$A:$B,2,FALSE),VLOOKUP($A22,'NonXtal_SegEnds_Prot#'!A:AL,10,FALSE)+9,1)</f>
        <v>P</v>
      </c>
      <c r="W22" s="64" t="str">
        <f>MID(VLOOKUP($A22,Seqs!$A:$B,2,FALSE),VLOOKUP($A22,'NonXtal_SegEnds_Prot#'!$A:$AL,22,FALSE)+6,1)</f>
        <v>V</v>
      </c>
      <c r="X22" s="90" t="str">
        <f>MID(VLOOKUP($A22,Seqs!$A:$B,2,FALSE),VLOOKUP($A22,'NonXtal_SegEnds_Prot#'!$A:$AL,22,FALSE)+7,1)</f>
        <v>A</v>
      </c>
      <c r="Y22" s="90" t="str">
        <f>MID(VLOOKUP($A22,Seqs!$A:$B,2,FALSE),VLOOKUP($A22,'NonXtal_SegEnds_Prot#'!$A:$AL,22,FALSE)+8,1)</f>
        <v>F</v>
      </c>
      <c r="Z22" s="90" t="str">
        <f>MID(VLOOKUP($A22,Seqs!$A:$B,2,FALSE),VLOOKUP($A22,'NonXtal_SegEnds_Prot#'!$A:$AL,22,FALSE)+9,1)</f>
        <v>P</v>
      </c>
      <c r="AA22" s="90" t="str">
        <f>MID(VLOOKUP($A22,Seqs!$A:$B,2,FALSE),VLOOKUP($A22,'NonXtal_SegEnds_Prot#'!$A:$AL,22,FALSE)+10,1)</f>
        <v>L</v>
      </c>
      <c r="AB22" s="64" t="str">
        <f>MID(VLOOKUP($A22,Seqs!$A:$B,2,FALSE),VLOOKUP($A22,'NonXtal_SegEnds_Prot#'!$A:$AL,28,FALSE)-4,1)</f>
        <v>S</v>
      </c>
      <c r="AC22" s="90" t="str">
        <f>MID(VLOOKUP($A22,Seqs!$A:$B,2,FALSE),VLOOKUP($A22,'NonXtal_SegEnds_Prot#'!$A:$AL,28,FALSE),1)</f>
        <v>P</v>
      </c>
    </row>
    <row r="23" spans="1:29" s="2" customFormat="1" x14ac:dyDescent="0.2">
      <c r="A23" s="2" t="s">
        <v>467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64" t="str">
        <f>MID(VLOOKUP($A23,Seqs!$A:$B,2,FALSE),VLOOKUP($A23,'NonXtal_SegEnds_Prot#'!A:AL,10,FALSE),1)</f>
        <v>D</v>
      </c>
      <c r="S23" s="90" t="str">
        <f>MID(VLOOKUP($A23,Seqs!$A:$B,2,FALSE),VLOOKUP($A23,'NonXtal_SegEnds_Prot#'!A:AL,10,FALSE)+6,1)</f>
        <v>T</v>
      </c>
      <c r="T23" s="90" t="str">
        <f>MID(VLOOKUP($A23,Seqs!$A:$B,2,FALSE),VLOOKUP($A23,'NonXtal_SegEnds_Prot#'!A:AL,10,FALSE)+7,1)</f>
        <v>C</v>
      </c>
      <c r="U23" s="90" t="str">
        <f>MID(VLOOKUP($A23,Seqs!$A:$B,2,FALSE),VLOOKUP($A23,'NonXtal_SegEnds_Prot#'!A:AL,10,FALSE)+8,1)</f>
        <v>A</v>
      </c>
      <c r="V23" s="90" t="str">
        <f>MID(VLOOKUP($A23,Seqs!$A:$B,2,FALSE),VLOOKUP($A23,'NonXtal_SegEnds_Prot#'!A:AL,10,FALSE)+9,1)</f>
        <v>P</v>
      </c>
      <c r="W23" s="64" t="str">
        <f>MID(VLOOKUP($A23,Seqs!$A:$B,2,FALSE),VLOOKUP($A23,'NonXtal_SegEnds_Prot#'!$A:$AL,22,FALSE)+6,1)</f>
        <v>L</v>
      </c>
      <c r="X23" s="90" t="str">
        <f>MID(VLOOKUP($A23,Seqs!$A:$B,2,FALSE),VLOOKUP($A23,'NonXtal_SegEnds_Prot#'!$A:$AL,22,FALSE)+7,1)</f>
        <v>A</v>
      </c>
      <c r="Y23" s="90" t="str">
        <f>MID(VLOOKUP($A23,Seqs!$A:$B,2,FALSE),VLOOKUP($A23,'NonXtal_SegEnds_Prot#'!$A:$AL,22,FALSE)+8,1)</f>
        <v>I</v>
      </c>
      <c r="Z23" s="90" t="str">
        <f>MID(VLOOKUP($A23,Seqs!$A:$B,2,FALSE),VLOOKUP($A23,'NonXtal_SegEnds_Prot#'!$A:$AL,22,FALSE)+9,1)</f>
        <v>P</v>
      </c>
      <c r="AA23" s="90" t="str">
        <f>MID(VLOOKUP($A23,Seqs!$A:$B,2,FALSE),VLOOKUP($A23,'NonXtal_SegEnds_Prot#'!$A:$AL,22,FALSE)+10,1)</f>
        <v>E</v>
      </c>
      <c r="AB23" s="64" t="str">
        <f>MID(VLOOKUP($A23,Seqs!$A:$B,2,FALSE),VLOOKUP($A23,'NonXtal_SegEnds_Prot#'!$A:$AL,28,FALSE)-4,1)</f>
        <v>F</v>
      </c>
      <c r="AC23" s="90" t="str">
        <f>MID(VLOOKUP($A23,Seqs!$A:$B,2,FALSE),VLOOKUP($A23,'NonXtal_SegEnds_Prot#'!$A:$AL,28,FALSE),1)</f>
        <v>P</v>
      </c>
    </row>
    <row r="24" spans="1:29" s="2" customFormat="1" x14ac:dyDescent="0.2">
      <c r="A24" s="2" t="s">
        <v>482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64" t="str">
        <f>MID(VLOOKUP($A24,Seqs!$A:$B,2,FALSE),VLOOKUP($A24,'NonXtal_SegEnds_Prot#'!A:AL,10,FALSE),1)</f>
        <v>D</v>
      </c>
      <c r="S24" s="90" t="str">
        <f>MID(VLOOKUP($A24,Seqs!$A:$B,2,FALSE),VLOOKUP($A24,'NonXtal_SegEnds_Prot#'!A:AL,10,FALSE)+6,1)</f>
        <v>S</v>
      </c>
      <c r="T24" s="90" t="str">
        <f>MID(VLOOKUP($A24,Seqs!$A:$B,2,FALSE),VLOOKUP($A24,'NonXtal_SegEnds_Prot#'!A:AL,10,FALSE)+7,1)</f>
        <v>L</v>
      </c>
      <c r="U24" s="90" t="str">
        <f>MID(VLOOKUP($A24,Seqs!$A:$B,2,FALSE),VLOOKUP($A24,'NonXtal_SegEnds_Prot#'!A:AL,10,FALSE)+8,1)</f>
        <v>P</v>
      </c>
      <c r="V24" s="90" t="str">
        <f>MID(VLOOKUP($A24,Seqs!$A:$B,2,FALSE),VLOOKUP($A24,'NonXtal_SegEnds_Prot#'!A:AL,10,FALSE)+9,1)</f>
        <v>V</v>
      </c>
      <c r="W24" s="64" t="str">
        <f>MID(VLOOKUP($A24,Seqs!$A:$B,2,FALSE),VLOOKUP($A24,'NonXtal_SegEnds_Prot#'!$A:$AL,22,FALSE)+6,1)</f>
        <v>F</v>
      </c>
      <c r="X24" s="90" t="str">
        <f>MID(VLOOKUP($A24,Seqs!$A:$B,2,FALSE),VLOOKUP($A24,'NonXtal_SegEnds_Prot#'!$A:$AL,22,FALSE)+7,1)</f>
        <v>A</v>
      </c>
      <c r="Y24" s="90" t="str">
        <f>MID(VLOOKUP($A24,Seqs!$A:$B,2,FALSE),VLOOKUP($A24,'NonXtal_SegEnds_Prot#'!$A:$AL,22,FALSE)+8,1)</f>
        <v>V</v>
      </c>
      <c r="Z24" s="90" t="str">
        <f>MID(VLOOKUP($A24,Seqs!$A:$B,2,FALSE),VLOOKUP($A24,'NonXtal_SegEnds_Prot#'!$A:$AL,22,FALSE)+9,1)</f>
        <v>P</v>
      </c>
      <c r="AA24" s="90" t="str">
        <f>MID(VLOOKUP($A24,Seqs!$A:$B,2,FALSE),VLOOKUP($A24,'NonXtal_SegEnds_Prot#'!$A:$AL,22,FALSE)+10,1)</f>
        <v>A</v>
      </c>
      <c r="AB24" s="64" t="str">
        <f>MID(VLOOKUP($A24,Seqs!$A:$B,2,FALSE),VLOOKUP($A24,'NonXtal_SegEnds_Prot#'!$A:$AL,28,FALSE)-4,1)</f>
        <v>G</v>
      </c>
      <c r="AC24" s="90" t="str">
        <f>MID(VLOOKUP($A24,Seqs!$A:$B,2,FALSE),VLOOKUP($A24,'NonXtal_SegEnds_Prot#'!$A:$AL,28,FALSE),1)</f>
        <v>P</v>
      </c>
    </row>
    <row r="25" spans="1:29" s="2" customFormat="1" x14ac:dyDescent="0.2">
      <c r="A25" s="2" t="s">
        <v>485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64" t="str">
        <f>MID(VLOOKUP($A25,Seqs!$A:$B,2,FALSE),VLOOKUP($A25,'NonXtal_SegEnds_Prot#'!A:AL,10,FALSE),1)</f>
        <v>D</v>
      </c>
      <c r="S25" s="90" t="str">
        <f>MID(VLOOKUP($A25,Seqs!$A:$B,2,FALSE),VLOOKUP($A25,'NonXtal_SegEnds_Prot#'!A:AL,10,FALSE)+6,1)</f>
        <v>T</v>
      </c>
      <c r="T25" s="90" t="str">
        <f>MID(VLOOKUP($A25,Seqs!$A:$B,2,FALSE),VLOOKUP($A25,'NonXtal_SegEnds_Prot#'!A:AL,10,FALSE)+7,1)</f>
        <v>A</v>
      </c>
      <c r="U25" s="90" t="str">
        <f>MID(VLOOKUP($A25,Seqs!$A:$B,2,FALSE),VLOOKUP($A25,'NonXtal_SegEnds_Prot#'!A:AL,10,FALSE)+8,1)</f>
        <v>P</v>
      </c>
      <c r="V25" s="90" t="str">
        <f>MID(VLOOKUP($A25,Seqs!$A:$B,2,FALSE),VLOOKUP($A25,'NonXtal_SegEnds_Prot#'!A:AL,10,FALSE)+9,1)</f>
        <v>F</v>
      </c>
      <c r="W25" s="64" t="str">
        <f>MID(VLOOKUP($A25,Seqs!$A:$B,2,FALSE),VLOOKUP($A25,'NonXtal_SegEnds_Prot#'!$A:$AL,22,FALSE)+6,1)</f>
        <v>L</v>
      </c>
      <c r="X25" s="90" t="str">
        <f>MID(VLOOKUP($A25,Seqs!$A:$B,2,FALSE),VLOOKUP($A25,'NonXtal_SegEnds_Prot#'!$A:$AL,22,FALSE)+7,1)</f>
        <v>A</v>
      </c>
      <c r="Y25" s="90" t="str">
        <f>MID(VLOOKUP($A25,Seqs!$A:$B,2,FALSE),VLOOKUP($A25,'NonXtal_SegEnds_Prot#'!$A:$AL,22,FALSE)+8,1)</f>
        <v>T</v>
      </c>
      <c r="Z25" s="90" t="str">
        <f>MID(VLOOKUP($A25,Seqs!$A:$B,2,FALSE),VLOOKUP($A25,'NonXtal_SegEnds_Prot#'!$A:$AL,22,FALSE)+9,1)</f>
        <v>P</v>
      </c>
      <c r="AA25" s="90" t="str">
        <f>MID(VLOOKUP($A25,Seqs!$A:$B,2,FALSE),VLOOKUP($A25,'NonXtal_SegEnds_Prot#'!$A:$AL,22,FALSE)+10,1)</f>
        <v>V</v>
      </c>
      <c r="AB25" s="64" t="str">
        <f>MID(VLOOKUP($A25,Seqs!$A:$B,2,FALSE),VLOOKUP($A25,'NonXtal_SegEnds_Prot#'!$A:$AL,28,FALSE)-4,1)</f>
        <v>G</v>
      </c>
      <c r="AC25" s="90" t="str">
        <f>MID(VLOOKUP($A25,Seqs!$A:$B,2,FALSE),VLOOKUP($A25,'NonXtal_SegEnds_Prot#'!$A:$AL,28,FALSE),1)</f>
        <v>P</v>
      </c>
    </row>
    <row r="26" spans="1:29" s="2" customFormat="1" x14ac:dyDescent="0.2">
      <c r="A26" s="2" t="s">
        <v>486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64" t="str">
        <f>MID(VLOOKUP($A26,Seqs!$A:$B,2,FALSE),VLOOKUP($A26,'NonXtal_SegEnds_Prot#'!A:AL,10,FALSE),1)</f>
        <v>D</v>
      </c>
      <c r="S26" s="90" t="str">
        <f>MID(VLOOKUP($A26,Seqs!$A:$B,2,FALSE),VLOOKUP($A26,'NonXtal_SegEnds_Prot#'!A:AL,10,FALSE)+6,1)</f>
        <v>L</v>
      </c>
      <c r="T26" s="90" t="str">
        <f>MID(VLOOKUP($A26,Seqs!$A:$B,2,FALSE),VLOOKUP($A26,'NonXtal_SegEnds_Prot#'!A:AL,10,FALSE)+7,1)</f>
        <v>T</v>
      </c>
      <c r="U26" s="90" t="str">
        <f>MID(VLOOKUP($A26,Seqs!$A:$B,2,FALSE),VLOOKUP($A26,'NonXtal_SegEnds_Prot#'!A:AL,10,FALSE)+8,1)</f>
        <v>P</v>
      </c>
      <c r="V26" s="90" t="str">
        <f>MID(VLOOKUP($A26,Seqs!$A:$B,2,FALSE),VLOOKUP($A26,'NonXtal_SegEnds_Prot#'!A:AL,10,FALSE)+9,1)</f>
        <v>L</v>
      </c>
      <c r="W26" s="64" t="str">
        <f>MID(VLOOKUP($A26,Seqs!$A:$B,2,FALSE),VLOOKUP($A26,'NonXtal_SegEnds_Prot#'!$A:$AL,22,FALSE)+6,1)</f>
        <v>L</v>
      </c>
      <c r="X26" s="90" t="str">
        <f>MID(VLOOKUP($A26,Seqs!$A:$B,2,FALSE),VLOOKUP($A26,'NonXtal_SegEnds_Prot#'!$A:$AL,22,FALSE)+7,1)</f>
        <v>A</v>
      </c>
      <c r="Y26" s="90" t="str">
        <f>MID(VLOOKUP($A26,Seqs!$A:$B,2,FALSE),VLOOKUP($A26,'NonXtal_SegEnds_Prot#'!$A:$AL,22,FALSE)+8,1)</f>
        <v>V</v>
      </c>
      <c r="Z26" s="90" t="str">
        <f>MID(VLOOKUP($A26,Seqs!$A:$B,2,FALSE),VLOOKUP($A26,'NonXtal_SegEnds_Prot#'!$A:$AL,22,FALSE)+9,1)</f>
        <v>P</v>
      </c>
      <c r="AA26" s="90" t="str">
        <f>MID(VLOOKUP($A26,Seqs!$A:$B,2,FALSE),VLOOKUP($A26,'NonXtal_SegEnds_Prot#'!$A:$AL,22,FALSE)+10,1)</f>
        <v>A</v>
      </c>
      <c r="AB26" s="64" t="str">
        <f>MID(VLOOKUP($A26,Seqs!$A:$B,2,FALSE),VLOOKUP($A26,'NonXtal_SegEnds_Prot#'!$A:$AL,28,FALSE)-4,1)</f>
        <v>A</v>
      </c>
      <c r="AC26" s="90" t="str">
        <f>MID(VLOOKUP($A26,Seqs!$A:$B,2,FALSE),VLOOKUP($A26,'NonXtal_SegEnds_Prot#'!$A:$AL,28,FALSE),1)</f>
        <v>P</v>
      </c>
    </row>
    <row r="27" spans="1:29" s="2" customFormat="1" x14ac:dyDescent="0.2">
      <c r="A27" s="2" t="s">
        <v>493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64" t="str">
        <f>MID(VLOOKUP($A27,Seqs!$A:$B,2,FALSE),VLOOKUP($A27,'NonXtal_SegEnds_Prot#'!A:AL,10,FALSE),1)</f>
        <v>D</v>
      </c>
      <c r="S27" s="90" t="str">
        <f>MID(VLOOKUP($A27,Seqs!$A:$B,2,FALSE),VLOOKUP($A27,'NonXtal_SegEnds_Prot#'!A:AL,10,FALSE)+6,1)</f>
        <v>G</v>
      </c>
      <c r="T27" s="90" t="str">
        <f>MID(VLOOKUP($A27,Seqs!$A:$B,2,FALSE),VLOOKUP($A27,'NonXtal_SegEnds_Prot#'!A:AL,10,FALSE)+7,1)</f>
        <v>M</v>
      </c>
      <c r="U27" s="90" t="str">
        <f>MID(VLOOKUP($A27,Seqs!$A:$B,2,FALSE),VLOOKUP($A27,'NonXtal_SegEnds_Prot#'!A:AL,10,FALSE)+8,1)</f>
        <v>P</v>
      </c>
      <c r="V27" s="90" t="str">
        <f>MID(VLOOKUP($A27,Seqs!$A:$B,2,FALSE),VLOOKUP($A27,'NonXtal_SegEnds_Prot#'!A:AL,10,FALSE)+9,1)</f>
        <v>F</v>
      </c>
      <c r="W27" s="64" t="str">
        <f>MID(VLOOKUP($A27,Seqs!$A:$B,2,FALSE),VLOOKUP($A27,'NonXtal_SegEnds_Prot#'!$A:$AL,22,FALSE)+6,1)</f>
        <v>L</v>
      </c>
      <c r="X27" s="90" t="str">
        <f>MID(VLOOKUP($A27,Seqs!$A:$B,2,FALSE),VLOOKUP($A27,'NonXtal_SegEnds_Prot#'!$A:$AL,22,FALSE)+7,1)</f>
        <v>A</v>
      </c>
      <c r="Y27" s="90" t="str">
        <f>MID(VLOOKUP($A27,Seqs!$A:$B,2,FALSE),VLOOKUP($A27,'NonXtal_SegEnds_Prot#'!$A:$AL,22,FALSE)+8,1)</f>
        <v>L</v>
      </c>
      <c r="Z27" s="90" t="str">
        <f>MID(VLOOKUP($A27,Seqs!$A:$B,2,FALSE),VLOOKUP($A27,'NonXtal_SegEnds_Prot#'!$A:$AL,22,FALSE)+9,1)</f>
        <v>P</v>
      </c>
      <c r="AA27" s="90" t="str">
        <f>MID(VLOOKUP($A27,Seqs!$A:$B,2,FALSE),VLOOKUP($A27,'NonXtal_SegEnds_Prot#'!$A:$AL,22,FALSE)+10,1)</f>
        <v>V</v>
      </c>
      <c r="AB27" s="64" t="str">
        <f>MID(VLOOKUP($A27,Seqs!$A:$B,2,FALSE),VLOOKUP($A27,'NonXtal_SegEnds_Prot#'!$A:$AL,28,FALSE)-4,1)</f>
        <v>T</v>
      </c>
      <c r="AC27" s="90" t="str">
        <f>MID(VLOOKUP($A27,Seqs!$A:$B,2,FALSE),VLOOKUP($A27,'NonXtal_SegEnds_Prot#'!$A:$AL,28,FALSE),1)</f>
        <v>P</v>
      </c>
    </row>
    <row r="28" spans="1:29" s="2" customFormat="1" x14ac:dyDescent="0.2">
      <c r="A28" s="2" t="s">
        <v>503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64" t="str">
        <f>MID(VLOOKUP($A28,Seqs!$A:$B,2,FALSE),VLOOKUP($A28,'NonXtal_SegEnds_Prot#'!A:AL,10,FALSE),1)</f>
        <v>D</v>
      </c>
      <c r="S28" s="90" t="str">
        <f>MID(VLOOKUP($A28,Seqs!$A:$B,2,FALSE),VLOOKUP($A28,'NonXtal_SegEnds_Prot#'!A:AL,10,FALSE)+6,1)</f>
        <v>G</v>
      </c>
      <c r="T28" s="90" t="str">
        <f>MID(VLOOKUP($A28,Seqs!$A:$B,2,FALSE),VLOOKUP($A28,'NonXtal_SegEnds_Prot#'!A:AL,10,FALSE)+7,1)</f>
        <v>L</v>
      </c>
      <c r="U28" s="90" t="str">
        <f>MID(VLOOKUP($A28,Seqs!$A:$B,2,FALSE),VLOOKUP($A28,'NonXtal_SegEnds_Prot#'!A:AL,10,FALSE)+8,1)</f>
        <v>P</v>
      </c>
      <c r="V28" s="90" t="str">
        <f>MID(VLOOKUP($A28,Seqs!$A:$B,2,FALSE),VLOOKUP($A28,'NonXtal_SegEnds_Prot#'!A:AL,10,FALSE)+9,1)</f>
        <v>F</v>
      </c>
      <c r="W28" s="64" t="str">
        <f>MID(VLOOKUP($A28,Seqs!$A:$B,2,FALSE),VLOOKUP($A28,'NonXtal_SegEnds_Prot#'!$A:$AL,22,FALSE)+6,1)</f>
        <v>S</v>
      </c>
      <c r="X28" s="90" t="str">
        <f>MID(VLOOKUP($A28,Seqs!$A:$B,2,FALSE),VLOOKUP($A28,'NonXtal_SegEnds_Prot#'!$A:$AL,22,FALSE)+7,1)</f>
        <v>A</v>
      </c>
      <c r="Y28" s="90" t="str">
        <f>MID(VLOOKUP($A28,Seqs!$A:$B,2,FALSE),VLOOKUP($A28,'NonXtal_SegEnds_Prot#'!$A:$AL,22,FALSE)+8,1)</f>
        <v>G</v>
      </c>
      <c r="Z28" s="90" t="str">
        <f>MID(VLOOKUP($A28,Seqs!$A:$B,2,FALSE),VLOOKUP($A28,'NonXtal_SegEnds_Prot#'!$A:$AL,22,FALSE)+9,1)</f>
        <v>P</v>
      </c>
      <c r="AA28" s="90" t="str">
        <f>MID(VLOOKUP($A28,Seqs!$A:$B,2,FALSE),VLOOKUP($A28,'NonXtal_SegEnds_Prot#'!$A:$AL,22,FALSE)+10,1)</f>
        <v>F</v>
      </c>
      <c r="AB28" s="64" t="str">
        <f>MID(VLOOKUP($A28,Seqs!$A:$B,2,FALSE),VLOOKUP($A28,'NonXtal_SegEnds_Prot#'!$A:$AL,28,FALSE)-4,1)</f>
        <v>Y</v>
      </c>
      <c r="AC28" s="90" t="str">
        <f>MID(VLOOKUP($A28,Seqs!$A:$B,2,FALSE),VLOOKUP($A28,'NonXtal_SegEnds_Prot#'!$A:$AL,28,FALSE),1)</f>
        <v>P</v>
      </c>
    </row>
    <row r="29" spans="1:29" s="2" customFormat="1" x14ac:dyDescent="0.2">
      <c r="A29" s="2" t="s">
        <v>507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64" t="str">
        <f>MID(VLOOKUP($A29,Seqs!$A:$B,2,FALSE),VLOOKUP($A29,'NonXtal_SegEnds_Prot#'!A:AL,10,FALSE),1)</f>
        <v>E</v>
      </c>
      <c r="S29" s="90" t="str">
        <f>MID(VLOOKUP($A29,Seqs!$A:$B,2,FALSE),VLOOKUP($A29,'NonXtal_SegEnds_Prot#'!A:AL,10,FALSE)+6,1)</f>
        <v>F</v>
      </c>
      <c r="T29" s="90" t="str">
        <f>MID(VLOOKUP($A29,Seqs!$A:$B,2,FALSE),VLOOKUP($A29,'NonXtal_SegEnds_Prot#'!A:AL,10,FALSE)+7,1)</f>
        <v>N</v>
      </c>
      <c r="U29" s="90" t="str">
        <f>MID(VLOOKUP($A29,Seqs!$A:$B,2,FALSE),VLOOKUP($A29,'NonXtal_SegEnds_Prot#'!A:AL,10,FALSE)+8,1)</f>
        <v>T</v>
      </c>
      <c r="V29" s="90" t="str">
        <f>MID(VLOOKUP($A29,Seqs!$A:$B,2,FALSE),VLOOKUP($A29,'NonXtal_SegEnds_Prot#'!A:AL,10,FALSE)+9,1)</f>
        <v>V</v>
      </c>
      <c r="W29" s="64" t="str">
        <f>MID(VLOOKUP($A29,Seqs!$A:$B,2,FALSE),VLOOKUP($A29,'NonXtal_SegEnds_Prot#'!$A:$AL,22,FALSE)+6,1)</f>
        <v>L</v>
      </c>
      <c r="X29" s="90" t="str">
        <f>MID(VLOOKUP($A29,Seqs!$A:$B,2,FALSE),VLOOKUP($A29,'NonXtal_SegEnds_Prot#'!$A:$AL,22,FALSE)+7,1)</f>
        <v>A</v>
      </c>
      <c r="Y29" s="90" t="str">
        <f>MID(VLOOKUP($A29,Seqs!$A:$B,2,FALSE),VLOOKUP($A29,'NonXtal_SegEnds_Prot#'!$A:$AL,22,FALSE)+8,1)</f>
        <v>F</v>
      </c>
      <c r="Z29" s="90" t="str">
        <f>MID(VLOOKUP($A29,Seqs!$A:$B,2,FALSE),VLOOKUP($A29,'NonXtal_SegEnds_Prot#'!$A:$AL,22,FALSE)+9,1)</f>
        <v>P</v>
      </c>
      <c r="AA29" s="90" t="str">
        <f>MID(VLOOKUP($A29,Seqs!$A:$B,2,FALSE),VLOOKUP($A29,'NonXtal_SegEnds_Prot#'!$A:$AL,22,FALSE)+10,1)</f>
        <v>Q</v>
      </c>
      <c r="AB29" s="64" t="str">
        <f>MID(VLOOKUP($A29,Seqs!$A:$B,2,FALSE),VLOOKUP($A29,'NonXtal_SegEnds_Prot#'!$A:$AL,28,FALSE)-4,1)</f>
        <v>I</v>
      </c>
      <c r="AC29" s="90" t="str">
        <f>MID(VLOOKUP($A29,Seqs!$A:$B,2,FALSE),VLOOKUP($A29,'NonXtal_SegEnds_Prot#'!$A:$AL,28,FALSE),1)</f>
        <v>P</v>
      </c>
    </row>
    <row r="30" spans="1:29" s="2" customFormat="1" x14ac:dyDescent="0.2">
      <c r="A30" s="2" t="s">
        <v>508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64" t="str">
        <f>MID(VLOOKUP($A30,Seqs!$A:$B,2,FALSE),VLOOKUP($A30,'NonXtal_SegEnds_Prot#'!A:AL,10,FALSE),1)</f>
        <v>D</v>
      </c>
      <c r="S30" s="90" t="str">
        <f>MID(VLOOKUP($A30,Seqs!$A:$B,2,FALSE),VLOOKUP($A30,'NonXtal_SegEnds_Prot#'!A:AL,10,FALSE)+6,1)</f>
        <v>F</v>
      </c>
      <c r="T30" s="90" t="str">
        <f>MID(VLOOKUP($A30,Seqs!$A:$B,2,FALSE),VLOOKUP($A30,'NonXtal_SegEnds_Prot#'!A:AL,10,FALSE)+7,1)</f>
        <v>N</v>
      </c>
      <c r="U30" s="90" t="str">
        <f>MID(VLOOKUP($A30,Seqs!$A:$B,2,FALSE),VLOOKUP($A30,'NonXtal_SegEnds_Prot#'!A:AL,10,FALSE)+8,1)</f>
        <v>A</v>
      </c>
      <c r="V30" s="90" t="str">
        <f>MID(VLOOKUP($A30,Seqs!$A:$B,2,FALSE),VLOOKUP($A30,'NonXtal_SegEnds_Prot#'!A:AL,10,FALSE)+9,1)</f>
        <v>A</v>
      </c>
      <c r="W30" s="64" t="str">
        <f>MID(VLOOKUP($A30,Seqs!$A:$B,2,FALSE),VLOOKUP($A30,'NonXtal_SegEnds_Prot#'!$A:$AL,22,FALSE)+6,1)</f>
        <v>L</v>
      </c>
      <c r="X30" s="90" t="str">
        <f>MID(VLOOKUP($A30,Seqs!$A:$B,2,FALSE),VLOOKUP($A30,'NonXtal_SegEnds_Prot#'!$A:$AL,22,FALSE)+7,1)</f>
        <v>A</v>
      </c>
      <c r="Y30" s="90" t="str">
        <f>MID(VLOOKUP($A30,Seqs!$A:$B,2,FALSE),VLOOKUP($A30,'NonXtal_SegEnds_Prot#'!$A:$AL,22,FALSE)+8,1)</f>
        <v>S</v>
      </c>
      <c r="Z30" s="90" t="str">
        <f>MID(VLOOKUP($A30,Seqs!$A:$B,2,FALSE),VLOOKUP($A30,'NonXtal_SegEnds_Prot#'!$A:$AL,22,FALSE)+9,1)</f>
        <v>P</v>
      </c>
      <c r="AA30" s="90" t="str">
        <f>MID(VLOOKUP($A30,Seqs!$A:$B,2,FALSE),VLOOKUP($A30,'NonXtal_SegEnds_Prot#'!$A:$AL,22,FALSE)+10,1)</f>
        <v>Q</v>
      </c>
      <c r="AB30" s="64" t="str">
        <f>MID(VLOOKUP($A30,Seqs!$A:$B,2,FALSE),VLOOKUP($A30,'NonXtal_SegEnds_Prot#'!$A:$AL,28,FALSE)-4,1)</f>
        <v>I</v>
      </c>
      <c r="AC30" s="90" t="str">
        <f>MID(VLOOKUP($A30,Seqs!$A:$B,2,FALSE),VLOOKUP($A30,'NonXtal_SegEnds_Prot#'!$A:$AL,28,FALSE),1)</f>
        <v>P</v>
      </c>
    </row>
    <row r="31" spans="1:29" s="2" customFormat="1" x14ac:dyDescent="0.2">
      <c r="A31" s="2" t="s">
        <v>509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64" t="str">
        <f>MID(VLOOKUP($A31,Seqs!$A:$B,2,FALSE),VLOOKUP($A31,'NonXtal_SegEnds_Prot#'!A:AL,10,FALSE),1)</f>
        <v>D</v>
      </c>
      <c r="S31" s="90" t="str">
        <f>MID(VLOOKUP($A31,Seqs!$A:$B,2,FALSE),VLOOKUP($A31,'NonXtal_SegEnds_Prot#'!A:AL,10,FALSE)+6,1)</f>
        <v>F</v>
      </c>
      <c r="T31" s="90" t="str">
        <f>MID(VLOOKUP($A31,Seqs!$A:$B,2,FALSE),VLOOKUP($A31,'NonXtal_SegEnds_Prot#'!A:AL,10,FALSE)+7,1)</f>
        <v>N</v>
      </c>
      <c r="U31" s="90" t="str">
        <f>MID(VLOOKUP($A31,Seqs!$A:$B,2,FALSE),VLOOKUP($A31,'NonXtal_SegEnds_Prot#'!A:AL,10,FALSE)+8,1)</f>
        <v>T</v>
      </c>
      <c r="V31" s="90" t="str">
        <f>MID(VLOOKUP($A31,Seqs!$A:$B,2,FALSE),VLOOKUP($A31,'NonXtal_SegEnds_Prot#'!A:AL,10,FALSE)+9,1)</f>
        <v>L</v>
      </c>
      <c r="W31" s="64" t="str">
        <f>MID(VLOOKUP($A31,Seqs!$A:$B,2,FALSE),VLOOKUP($A31,'NonXtal_SegEnds_Prot#'!$A:$AL,22,FALSE)+6,1)</f>
        <v>L</v>
      </c>
      <c r="X31" s="90" t="str">
        <f>MID(VLOOKUP($A31,Seqs!$A:$B,2,FALSE),VLOOKUP($A31,'NonXtal_SegEnds_Prot#'!$A:$AL,22,FALSE)+7,1)</f>
        <v>A</v>
      </c>
      <c r="Y31" s="90" t="str">
        <f>MID(VLOOKUP($A31,Seqs!$A:$B,2,FALSE),VLOOKUP($A31,'NonXtal_SegEnds_Prot#'!$A:$AL,22,FALSE)+8,1)</f>
        <v>F</v>
      </c>
      <c r="Z31" s="90" t="str">
        <f>MID(VLOOKUP($A31,Seqs!$A:$B,2,FALSE),VLOOKUP($A31,'NonXtal_SegEnds_Prot#'!$A:$AL,22,FALSE)+9,1)</f>
        <v>P</v>
      </c>
      <c r="AA31" s="90" t="str">
        <f>MID(VLOOKUP($A31,Seqs!$A:$B,2,FALSE),VLOOKUP($A31,'NonXtal_SegEnds_Prot#'!$A:$AL,22,FALSE)+10,1)</f>
        <v>Q</v>
      </c>
      <c r="AB31" s="64" t="str">
        <f>MID(VLOOKUP($A31,Seqs!$A:$B,2,FALSE),VLOOKUP($A31,'NonXtal_SegEnds_Prot#'!$A:$AL,28,FALSE)-4,1)</f>
        <v>V</v>
      </c>
      <c r="AC31" s="90" t="str">
        <f>MID(VLOOKUP($A31,Seqs!$A:$B,2,FALSE),VLOOKUP($A31,'NonXtal_SegEnds_Prot#'!$A:$AL,28,FALSE),1)</f>
        <v>P</v>
      </c>
    </row>
    <row r="32" spans="1:29" s="2" customFormat="1" x14ac:dyDescent="0.2">
      <c r="A32" s="2" t="s">
        <v>510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64" t="str">
        <f>MID(VLOOKUP($A32,Seqs!$A:$B,2,FALSE),VLOOKUP($A32,'NonXtal_SegEnds_Prot#'!A:AL,10,FALSE),1)</f>
        <v>D</v>
      </c>
      <c r="S32" s="90" t="str">
        <f>MID(VLOOKUP($A32,Seqs!$A:$B,2,FALSE),VLOOKUP($A32,'NonXtal_SegEnds_Prot#'!A:AL,10,FALSE)+6,1)</f>
        <v>T</v>
      </c>
      <c r="T32" s="90" t="str">
        <f>MID(VLOOKUP($A32,Seqs!$A:$B,2,FALSE),VLOOKUP($A32,'NonXtal_SegEnds_Prot#'!A:AL,10,FALSE)+7,1)</f>
        <v>C</v>
      </c>
      <c r="U32" s="90" t="str">
        <f>MID(VLOOKUP($A32,Seqs!$A:$B,2,FALSE),VLOOKUP($A32,'NonXtal_SegEnds_Prot#'!A:AL,10,FALSE)+8,1)</f>
        <v>V</v>
      </c>
      <c r="V32" s="90" t="str">
        <f>MID(VLOOKUP($A32,Seqs!$A:$B,2,FALSE),VLOOKUP($A32,'NonXtal_SegEnds_Prot#'!A:AL,10,FALSE)+9,1)</f>
        <v>P</v>
      </c>
      <c r="W32" s="64" t="str">
        <f>MID(VLOOKUP($A32,Seqs!$A:$B,2,FALSE),VLOOKUP($A32,'NonXtal_SegEnds_Prot#'!$A:$AL,22,FALSE)+6,1)</f>
        <v>L</v>
      </c>
      <c r="X32" s="90" t="str">
        <f>MID(VLOOKUP($A32,Seqs!$A:$B,2,FALSE),VLOOKUP($A32,'NonXtal_SegEnds_Prot#'!$A:$AL,22,FALSE)+7,1)</f>
        <v>A</v>
      </c>
      <c r="Y32" s="90" t="str">
        <f>MID(VLOOKUP($A32,Seqs!$A:$B,2,FALSE),VLOOKUP($A32,'NonXtal_SegEnds_Prot#'!$A:$AL,22,FALSE)+8,1)</f>
        <v>V</v>
      </c>
      <c r="Z32" s="90" t="str">
        <f>MID(VLOOKUP($A32,Seqs!$A:$B,2,FALSE),VLOOKUP($A32,'NonXtal_SegEnds_Prot#'!$A:$AL,22,FALSE)+9,1)</f>
        <v>P</v>
      </c>
      <c r="AA32" s="90" t="str">
        <f>MID(VLOOKUP($A32,Seqs!$A:$B,2,FALSE),VLOOKUP($A32,'NonXtal_SegEnds_Prot#'!$A:$AL,22,FALSE)+10,1)</f>
        <v>E</v>
      </c>
      <c r="AB32" s="64" t="str">
        <f>MID(VLOOKUP($A32,Seqs!$A:$B,2,FALSE),VLOOKUP($A32,'NonXtal_SegEnds_Prot#'!$A:$AL,28,FALSE)-4,1)</f>
        <v>Y</v>
      </c>
      <c r="AC32" s="90" t="str">
        <f>MID(VLOOKUP($A32,Seqs!$A:$B,2,FALSE),VLOOKUP($A32,'NonXtal_SegEnds_Prot#'!$A:$AL,28,FALSE),1)</f>
        <v>P</v>
      </c>
    </row>
    <row r="33" spans="1:29" s="2" customFormat="1" x14ac:dyDescent="0.2">
      <c r="A33" s="2" t="s">
        <v>519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64" t="str">
        <f>MID(VLOOKUP($A33,Seqs!$A:$B,2,FALSE),VLOOKUP($A33,'NonXtal_SegEnds_Prot#'!A:AL,10,FALSE),1)</f>
        <v>D</v>
      </c>
      <c r="S33" s="90" t="str">
        <f>MID(VLOOKUP($A33,Seqs!$A:$B,2,FALSE),VLOOKUP($A33,'NonXtal_SegEnds_Prot#'!A:AL,10,FALSE)+6,1)</f>
        <v>L</v>
      </c>
      <c r="T33" s="90" t="str">
        <f>MID(VLOOKUP($A33,Seqs!$A:$B,2,FALSE),VLOOKUP($A33,'NonXtal_SegEnds_Prot#'!A:AL,10,FALSE)+7,1)</f>
        <v>C</v>
      </c>
      <c r="U33" s="90" t="str">
        <f>MID(VLOOKUP($A33,Seqs!$A:$B,2,FALSE),VLOOKUP($A33,'NonXtal_SegEnds_Prot#'!A:AL,10,FALSE)+8,1)</f>
        <v>L</v>
      </c>
      <c r="V33" s="90" t="str">
        <f>MID(VLOOKUP($A33,Seqs!$A:$B,2,FALSE),VLOOKUP($A33,'NonXtal_SegEnds_Prot#'!A:AL,10,FALSE)+9,1)</f>
        <v>P</v>
      </c>
      <c r="W33" s="64" t="str">
        <f>MID(VLOOKUP($A33,Seqs!$A:$B,2,FALSE),VLOOKUP($A33,'NonXtal_SegEnds_Prot#'!$A:$AL,22,FALSE)+6,1)</f>
        <v>L</v>
      </c>
      <c r="X33" s="90" t="str">
        <f>MID(VLOOKUP($A33,Seqs!$A:$B,2,FALSE),VLOOKUP($A33,'NonXtal_SegEnds_Prot#'!$A:$AL,22,FALSE)+7,1)</f>
        <v>A</v>
      </c>
      <c r="Y33" s="90" t="str">
        <f>MID(VLOOKUP($A33,Seqs!$A:$B,2,FALSE),VLOOKUP($A33,'NonXtal_SegEnds_Prot#'!$A:$AL,22,FALSE)+8,1)</f>
        <v>S</v>
      </c>
      <c r="Z33" s="90" t="str">
        <f>MID(VLOOKUP($A33,Seqs!$A:$B,2,FALSE),VLOOKUP($A33,'NonXtal_SegEnds_Prot#'!$A:$AL,22,FALSE)+9,1)</f>
        <v>P</v>
      </c>
      <c r="AA33" s="90" t="str">
        <f>MID(VLOOKUP($A33,Seqs!$A:$B,2,FALSE),VLOOKUP($A33,'NonXtal_SegEnds_Prot#'!$A:$AL,22,FALSE)+10,1)</f>
        <v>L</v>
      </c>
      <c r="AB33" s="64" t="str">
        <f>MID(VLOOKUP($A33,Seqs!$A:$B,2,FALSE),VLOOKUP($A33,'NonXtal_SegEnds_Prot#'!$A:$AL,28,FALSE)-4,1)</f>
        <v>L</v>
      </c>
      <c r="AC33" s="90" t="str">
        <f>MID(VLOOKUP($A33,Seqs!$A:$B,2,FALSE),VLOOKUP($A33,'NonXtal_SegEnds_Prot#'!$A:$AL,28,FALSE),1)</f>
        <v>P</v>
      </c>
    </row>
    <row r="34" spans="1:29" s="2" customFormat="1" x14ac:dyDescent="0.2">
      <c r="A34" s="2" t="s">
        <v>320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64" t="str">
        <f>MID(VLOOKUP($A34,Seqs!$A:$B,2,FALSE),VLOOKUP($A34,'NonXtal_SegEnds_Prot#'!A:AL,10,FALSE),1)</f>
        <v>D</v>
      </c>
      <c r="S34" s="90" t="str">
        <f>MID(VLOOKUP($A34,Seqs!$A:$B,2,FALSE),VLOOKUP($A34,'NonXtal_SegEnds_Prot#'!A:AL,10,FALSE)+6,1)</f>
        <v>L</v>
      </c>
      <c r="T34" s="90" t="str">
        <f>MID(VLOOKUP($A34,Seqs!$A:$B,2,FALSE),VLOOKUP($A34,'NonXtal_SegEnds_Prot#'!A:AL,10,FALSE)+7,1)</f>
        <v>A</v>
      </c>
      <c r="U34" s="90" t="str">
        <f>MID(VLOOKUP($A34,Seqs!$A:$B,2,FALSE),VLOOKUP($A34,'NonXtal_SegEnds_Prot#'!A:AL,10,FALSE)+8,1)</f>
        <v>M</v>
      </c>
      <c r="V34" s="90" t="str">
        <f>MID(VLOOKUP($A34,Seqs!$A:$B,2,FALSE),VLOOKUP($A34,'NonXtal_SegEnds_Prot#'!A:AL,10,FALSE)+9,1)</f>
        <v>P</v>
      </c>
      <c r="W34" s="64" t="str">
        <f>MID(VLOOKUP($A34,Seqs!$A:$B,2,FALSE),VLOOKUP($A34,'NonXtal_SegEnds_Prot#'!$A:$AL,22,FALSE)+6,1)</f>
        <v>L</v>
      </c>
      <c r="X34" s="90" t="str">
        <f>MID(VLOOKUP($A34,Seqs!$A:$B,2,FALSE),VLOOKUP($A34,'NonXtal_SegEnds_Prot#'!$A:$AL,22,FALSE)+7,1)</f>
        <v>A</v>
      </c>
      <c r="Y34" s="90" t="str">
        <f>MID(VLOOKUP($A34,Seqs!$A:$B,2,FALSE),VLOOKUP($A34,'NonXtal_SegEnds_Prot#'!$A:$AL,22,FALSE)+8,1)</f>
        <v>V</v>
      </c>
      <c r="Z34" s="90" t="str">
        <f>MID(VLOOKUP($A34,Seqs!$A:$B,2,FALSE),VLOOKUP($A34,'NonXtal_SegEnds_Prot#'!$A:$AL,22,FALSE)+9,1)</f>
        <v>P</v>
      </c>
      <c r="AA34" s="90" t="str">
        <f>MID(VLOOKUP($A34,Seqs!$A:$B,2,FALSE),VLOOKUP($A34,'NonXtal_SegEnds_Prot#'!$A:$AL,22,FALSE)+10,1)</f>
        <v>M</v>
      </c>
      <c r="AB34" s="64" t="str">
        <f>MID(VLOOKUP($A34,Seqs!$A:$B,2,FALSE),VLOOKUP($A34,'NonXtal_SegEnds_Prot#'!$A:$AL,28,FALSE)-4,1)</f>
        <v>S</v>
      </c>
      <c r="AC34" s="90" t="str">
        <f>MID(VLOOKUP($A34,Seqs!$A:$B,2,FALSE),VLOOKUP($A34,'NonXtal_SegEnds_Prot#'!$A:$AL,28,FALSE),1)</f>
        <v>P</v>
      </c>
    </row>
    <row r="35" spans="1:29" s="2" customFormat="1" x14ac:dyDescent="0.2">
      <c r="A35" s="2" t="s">
        <v>1109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64" t="str">
        <f>MID(VLOOKUP($A35,Seqs!$A:$B,2,FALSE),VLOOKUP($A35,'NonXtal_SegEnds_Prot#'!A:AL,10,FALSE),1)</f>
        <v>D</v>
      </c>
      <c r="S35" s="90" t="str">
        <f>MID(VLOOKUP($A35,Seqs!$A:$B,2,FALSE),VLOOKUP($A35,'NonXtal_SegEnds_Prot#'!A:AL,10,FALSE)+6,1)</f>
        <v>L</v>
      </c>
      <c r="T35" s="90" t="str">
        <f>MID(VLOOKUP($A35,Seqs!$A:$B,2,FALSE),VLOOKUP($A35,'NonXtal_SegEnds_Prot#'!A:AL,10,FALSE)+7,1)</f>
        <v>A</v>
      </c>
      <c r="U35" s="90" t="str">
        <f>MID(VLOOKUP($A35,Seqs!$A:$B,2,FALSE),VLOOKUP($A35,'NonXtal_SegEnds_Prot#'!A:AL,10,FALSE)+8,1)</f>
        <v>M</v>
      </c>
      <c r="V35" s="90" t="str">
        <f>MID(VLOOKUP($A35,Seqs!$A:$B,2,FALSE),VLOOKUP($A35,'NonXtal_SegEnds_Prot#'!A:AL,10,FALSE)+9,1)</f>
        <v>P</v>
      </c>
      <c r="W35" s="64" t="str">
        <f>MID(VLOOKUP($A35,Seqs!$A:$B,2,FALSE),VLOOKUP($A35,'NonXtal_SegEnds_Prot#'!$A:$AL,22,FALSE)+6,1)</f>
        <v>L</v>
      </c>
      <c r="X35" s="90" t="str">
        <f>MID(VLOOKUP($A35,Seqs!$A:$B,2,FALSE),VLOOKUP($A35,'NonXtal_SegEnds_Prot#'!$A:$AL,22,FALSE)+7,1)</f>
        <v>A</v>
      </c>
      <c r="Y35" s="90" t="str">
        <f>MID(VLOOKUP($A35,Seqs!$A:$B,2,FALSE),VLOOKUP($A35,'NonXtal_SegEnds_Prot#'!$A:$AL,22,FALSE)+8,1)</f>
        <v>I</v>
      </c>
      <c r="Z35" s="90" t="str">
        <f>MID(VLOOKUP($A35,Seqs!$A:$B,2,FALSE),VLOOKUP($A35,'NonXtal_SegEnds_Prot#'!$A:$AL,22,FALSE)+9,1)</f>
        <v>P</v>
      </c>
      <c r="AA35" s="90" t="str">
        <f>MID(VLOOKUP($A35,Seqs!$A:$B,2,FALSE),VLOOKUP($A35,'NonXtal_SegEnds_Prot#'!$A:$AL,22,FALSE)+10,1)</f>
        <v>M</v>
      </c>
      <c r="AB35" s="64" t="str">
        <f>MID(VLOOKUP($A35,Seqs!$A:$B,2,FALSE),VLOOKUP($A35,'NonXtal_SegEnds_Prot#'!$A:$AL,28,FALSE)-4,1)</f>
        <v>S</v>
      </c>
      <c r="AC35" s="90" t="str">
        <f>MID(VLOOKUP($A35,Seqs!$A:$B,2,FALSE),VLOOKUP($A35,'NonXtal_SegEnds_Prot#'!$A:$AL,28,FALSE),1)</f>
        <v>P</v>
      </c>
    </row>
    <row r="36" spans="1:29" s="2" customFormat="1" x14ac:dyDescent="0.2">
      <c r="A36" s="2" t="s">
        <v>523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64" t="str">
        <f>MID(VLOOKUP($A36,Seqs!$A:$B,2,FALSE),VLOOKUP($A36,'NonXtal_SegEnds_Prot#'!A:AL,10,FALSE),1)</f>
        <v>G</v>
      </c>
      <c r="S36" s="90" t="str">
        <f>MID(VLOOKUP($A36,Seqs!$A:$B,2,FALSE),VLOOKUP($A36,'NonXtal_SegEnds_Prot#'!A:AL,10,FALSE)+6,1)</f>
        <v>V</v>
      </c>
      <c r="T36" s="90" t="str">
        <f>MID(VLOOKUP($A36,Seqs!$A:$B,2,FALSE),VLOOKUP($A36,'NonXtal_SegEnds_Prot#'!A:AL,10,FALSE)+7,1)</f>
        <v>G</v>
      </c>
      <c r="U36" s="90" t="str">
        <f>MID(VLOOKUP($A36,Seqs!$A:$B,2,FALSE),VLOOKUP($A36,'NonXtal_SegEnds_Prot#'!A:AL,10,FALSE)+8,1)</f>
        <v>V</v>
      </c>
      <c r="V36" s="90" t="str">
        <f>MID(VLOOKUP($A36,Seqs!$A:$B,2,FALSE),VLOOKUP($A36,'NonXtal_SegEnds_Prot#'!A:AL,10,FALSE)+9,1)</f>
        <v>P</v>
      </c>
      <c r="W36" s="64" t="str">
        <f>MID(VLOOKUP($A36,Seqs!$A:$B,2,FALSE),VLOOKUP($A36,'NonXtal_SegEnds_Prot#'!$A:$AL,22,FALSE)+6,1)</f>
        <v>L</v>
      </c>
      <c r="X36" s="90" t="str">
        <f>MID(VLOOKUP($A36,Seqs!$A:$B,2,FALSE),VLOOKUP($A36,'NonXtal_SegEnds_Prot#'!$A:$AL,22,FALSE)+7,1)</f>
        <v>A</v>
      </c>
      <c r="Y36" s="90" t="str">
        <f>MID(VLOOKUP($A36,Seqs!$A:$B,2,FALSE),VLOOKUP($A36,'NonXtal_SegEnds_Prot#'!$A:$AL,22,FALSE)+8,1)</f>
        <v>L</v>
      </c>
      <c r="Z36" s="90" t="str">
        <f>MID(VLOOKUP($A36,Seqs!$A:$B,2,FALSE),VLOOKUP($A36,'NonXtal_SegEnds_Prot#'!$A:$AL,22,FALSE)+9,1)</f>
        <v>P</v>
      </c>
      <c r="AA36" s="90" t="str">
        <f>MID(VLOOKUP($A36,Seqs!$A:$B,2,FALSE),VLOOKUP($A36,'NonXtal_SegEnds_Prot#'!$A:$AL,22,FALSE)+10,1)</f>
        <v>M</v>
      </c>
      <c r="AB36" s="64" t="str">
        <f>MID(VLOOKUP($A36,Seqs!$A:$B,2,FALSE),VLOOKUP($A36,'NonXtal_SegEnds_Prot#'!$A:$AL,28,FALSE)-4,1)</f>
        <v>S</v>
      </c>
      <c r="AC36" s="90" t="str">
        <f>MID(VLOOKUP($A36,Seqs!$A:$B,2,FALSE),VLOOKUP($A36,'NonXtal_SegEnds_Prot#'!$A:$AL,28,FALSE),1)</f>
        <v>P</v>
      </c>
    </row>
    <row r="37" spans="1:29" s="2" customFormat="1" x14ac:dyDescent="0.2">
      <c r="A37" s="2" t="s">
        <v>551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1553</v>
      </c>
      <c r="P37" s="4" t="s">
        <v>51</v>
      </c>
      <c r="R37" s="64" t="str">
        <f>MID(VLOOKUP($A37,Seqs!$A:$B,2,FALSE),VLOOKUP($A37,'NonXtal_SegEnds_Prot#'!A:AL,10,FALSE),1)</f>
        <v>D</v>
      </c>
      <c r="S37" s="90" t="str">
        <f>MID(VLOOKUP($A37,Seqs!$A:$B,2,FALSE),VLOOKUP($A37,'NonXtal_SegEnds_Prot#'!A:AL,10,FALSE)+6,1)</f>
        <v>A</v>
      </c>
      <c r="T37" s="90" t="str">
        <f>MID(VLOOKUP($A37,Seqs!$A:$B,2,FALSE),VLOOKUP($A37,'NonXtal_SegEnds_Prot#'!A:AL,10,FALSE)+7,1)</f>
        <v>L</v>
      </c>
      <c r="U37" s="90" t="str">
        <f>MID(VLOOKUP($A37,Seqs!$A:$B,2,FALSE),VLOOKUP($A37,'NonXtal_SegEnds_Prot#'!A:AL,10,FALSE)+8,1)</f>
        <v>P</v>
      </c>
      <c r="V37" s="90" t="str">
        <f>MID(VLOOKUP($A37,Seqs!$A:$B,2,FALSE),VLOOKUP($A37,'NonXtal_SegEnds_Prot#'!A:AL,10,FALSE)+9,1)</f>
        <v>P</v>
      </c>
      <c r="W37" s="64" t="str">
        <f>MID(VLOOKUP($A37,Seqs!$A:$B,2,FALSE),VLOOKUP($A37,'NonXtal_SegEnds_Prot#'!$A:$AL,22,FALSE)+6,1)</f>
        <v>L</v>
      </c>
      <c r="X37" s="90" t="str">
        <f>MID(VLOOKUP($A37,Seqs!$A:$B,2,FALSE),VLOOKUP($A37,'NonXtal_SegEnds_Prot#'!$A:$AL,22,FALSE)+7,1)</f>
        <v>A</v>
      </c>
      <c r="Y37" s="90" t="str">
        <f>MID(VLOOKUP($A37,Seqs!$A:$B,2,FALSE),VLOOKUP($A37,'NonXtal_SegEnds_Prot#'!$A:$AL,22,FALSE)+8,1)</f>
        <v>L</v>
      </c>
      <c r="Z37" s="90" t="str">
        <f>MID(VLOOKUP($A37,Seqs!$A:$B,2,FALSE),VLOOKUP($A37,'NonXtal_SegEnds_Prot#'!$A:$AL,22,FALSE)+9,1)</f>
        <v>P</v>
      </c>
      <c r="AA37" s="90" t="str">
        <f>MID(VLOOKUP($A37,Seqs!$A:$B,2,FALSE),VLOOKUP($A37,'NonXtal_SegEnds_Prot#'!$A:$AL,22,FALSE)+10,1)</f>
        <v>L</v>
      </c>
      <c r="AB37" s="64" t="str">
        <f>MID(VLOOKUP($A37,Seqs!$A:$B,2,FALSE),VLOOKUP($A37,'NonXtal_SegEnds_Prot#'!$A:$AL,28,FALSE)-4,1)</f>
        <v>G</v>
      </c>
      <c r="AC37" s="90" t="str">
        <f>MID(VLOOKUP($A37,Seqs!$A:$B,2,FALSE),VLOOKUP($A37,'NonXtal_SegEnds_Prot#'!$A:$AL,28,FALSE),1)</f>
        <v>P</v>
      </c>
    </row>
    <row r="38" spans="1:29" s="2" customFormat="1" x14ac:dyDescent="0.2">
      <c r="A38" s="2" t="s">
        <v>560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64" t="str">
        <f>MID(VLOOKUP($A38,Seqs!$A:$B,2,FALSE),VLOOKUP($A38,'NonXtal_SegEnds_Prot#'!A:AL,10,FALSE),1)</f>
        <v>D</v>
      </c>
      <c r="S38" s="90" t="str">
        <f>MID(VLOOKUP($A38,Seqs!$A:$B,2,FALSE),VLOOKUP($A38,'NonXtal_SegEnds_Prot#'!A:AL,10,FALSE)+6,1)</f>
        <v>V</v>
      </c>
      <c r="T38" s="90" t="str">
        <f>MID(VLOOKUP($A38,Seqs!$A:$B,2,FALSE),VLOOKUP($A38,'NonXtal_SegEnds_Prot#'!A:AL,10,FALSE)+7,1)</f>
        <v>C</v>
      </c>
      <c r="U38" s="90" t="str">
        <f>MID(VLOOKUP($A38,Seqs!$A:$B,2,FALSE),VLOOKUP($A38,'NonXtal_SegEnds_Prot#'!A:AL,10,FALSE)+8,1)</f>
        <v>C</v>
      </c>
      <c r="V38" s="90" t="str">
        <f>MID(VLOOKUP($A38,Seqs!$A:$B,2,FALSE),VLOOKUP($A38,'NonXtal_SegEnds_Prot#'!A:AL,10,FALSE)+9,1)</f>
        <v>P</v>
      </c>
      <c r="W38" s="64" t="str">
        <f>MID(VLOOKUP($A38,Seqs!$A:$B,2,FALSE),VLOOKUP($A38,'NonXtal_SegEnds_Prot#'!$A:$AL,22,FALSE)+6,1)</f>
        <v>I</v>
      </c>
      <c r="X38" s="90" t="str">
        <f>MID(VLOOKUP($A38,Seqs!$A:$B,2,FALSE),VLOOKUP($A38,'NonXtal_SegEnds_Prot#'!$A:$AL,22,FALSE)+7,1)</f>
        <v>A</v>
      </c>
      <c r="Y38" s="90" t="str">
        <f>MID(VLOOKUP($A38,Seqs!$A:$B,2,FALSE),VLOOKUP($A38,'NonXtal_SegEnds_Prot#'!$A:$AL,22,FALSE)+8,1)</f>
        <v>I</v>
      </c>
      <c r="Z38" s="90" t="str">
        <f>MID(VLOOKUP($A38,Seqs!$A:$B,2,FALSE),VLOOKUP($A38,'NonXtal_SegEnds_Prot#'!$A:$AL,22,FALSE)+9,1)</f>
        <v>P</v>
      </c>
      <c r="AA38" s="90" t="str">
        <f>MID(VLOOKUP($A38,Seqs!$A:$B,2,FALSE),VLOOKUP($A38,'NonXtal_SegEnds_Prot#'!$A:$AL,22,FALSE)+10,1)</f>
        <v>S</v>
      </c>
      <c r="AB38" s="64" t="str">
        <f>MID(VLOOKUP($A38,Seqs!$A:$B,2,FALSE),VLOOKUP($A38,'NonXtal_SegEnds_Prot#'!$A:$AL,28,FALSE)-4,1)</f>
        <v>E</v>
      </c>
      <c r="AC38" s="90" t="str">
        <f>MID(VLOOKUP($A38,Seqs!$A:$B,2,FALSE),VLOOKUP($A38,'NonXtal_SegEnds_Prot#'!$A:$AL,28,FALSE),1)</f>
        <v>P</v>
      </c>
    </row>
    <row r="39" spans="1:29" s="2" customFormat="1" x14ac:dyDescent="0.2">
      <c r="A39" s="2" t="s">
        <v>561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64" t="str">
        <f>MID(VLOOKUP($A39,Seqs!$A:$B,2,FALSE),VLOOKUP($A39,'NonXtal_SegEnds_Prot#'!A:AL,10,FALSE),1)</f>
        <v>D</v>
      </c>
      <c r="S39" s="90" t="str">
        <f>MID(VLOOKUP($A39,Seqs!$A:$B,2,FALSE),VLOOKUP($A39,'NonXtal_SegEnds_Prot#'!A:AL,10,FALSE)+6,1)</f>
        <v>I</v>
      </c>
      <c r="T39" s="90" t="str">
        <f>MID(VLOOKUP($A39,Seqs!$A:$B,2,FALSE),VLOOKUP($A39,'NonXtal_SegEnds_Prot#'!A:AL,10,FALSE)+7,1)</f>
        <v>C</v>
      </c>
      <c r="U39" s="90" t="str">
        <f>MID(VLOOKUP($A39,Seqs!$A:$B,2,FALSE),VLOOKUP($A39,'NonXtal_SegEnds_Prot#'!A:AL,10,FALSE)+8,1)</f>
        <v>C</v>
      </c>
      <c r="V39" s="90" t="str">
        <f>MID(VLOOKUP($A39,Seqs!$A:$B,2,FALSE),VLOOKUP($A39,'NonXtal_SegEnds_Prot#'!A:AL,10,FALSE)+9,1)</f>
        <v>P</v>
      </c>
      <c r="W39" s="64" t="str">
        <f>MID(VLOOKUP($A39,Seqs!$A:$B,2,FALSE),VLOOKUP($A39,'NonXtal_SegEnds_Prot#'!$A:$AL,22,FALSE)+6,1)</f>
        <v>I</v>
      </c>
      <c r="X39" s="90" t="str">
        <f>MID(VLOOKUP($A39,Seqs!$A:$B,2,FALSE),VLOOKUP($A39,'NonXtal_SegEnds_Prot#'!$A:$AL,22,FALSE)+7,1)</f>
        <v>A</v>
      </c>
      <c r="Y39" s="90" t="str">
        <f>MID(VLOOKUP($A39,Seqs!$A:$B,2,FALSE),VLOOKUP($A39,'NonXtal_SegEnds_Prot#'!$A:$AL,22,FALSE)+8,1)</f>
        <v>I</v>
      </c>
      <c r="Z39" s="90" t="str">
        <f>MID(VLOOKUP($A39,Seqs!$A:$B,2,FALSE),VLOOKUP($A39,'NonXtal_SegEnds_Prot#'!$A:$AL,22,FALSE)+9,1)</f>
        <v>P</v>
      </c>
      <c r="AA39" s="90" t="str">
        <f>MID(VLOOKUP($A39,Seqs!$A:$B,2,FALSE),VLOOKUP($A39,'NonXtal_SegEnds_Prot#'!$A:$AL,22,FALSE)+10,1)</f>
        <v>S</v>
      </c>
      <c r="AB39" s="64" t="str">
        <f>MID(VLOOKUP($A39,Seqs!$A:$B,2,FALSE),VLOOKUP($A39,'NonXtal_SegEnds_Prot#'!$A:$AL,28,FALSE)-4,1)</f>
        <v>E</v>
      </c>
      <c r="AC39" s="90" t="str">
        <f>MID(VLOOKUP($A39,Seqs!$A:$B,2,FALSE),VLOOKUP($A39,'NonXtal_SegEnds_Prot#'!$A:$AL,28,FALSE),1)</f>
        <v>P</v>
      </c>
    </row>
    <row r="40" spans="1:29" s="2" customFormat="1" x14ac:dyDescent="0.2">
      <c r="A40" s="2" t="s">
        <v>562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64" t="str">
        <f>MID(VLOOKUP($A40,Seqs!$A:$B,2,FALSE),VLOOKUP($A40,'NonXtal_SegEnds_Prot#'!A:AL,10,FALSE),1)</f>
        <v>D</v>
      </c>
      <c r="S40" s="90" t="str">
        <f>MID(VLOOKUP($A40,Seqs!$A:$B,2,FALSE),VLOOKUP($A40,'NonXtal_SegEnds_Prot#'!A:AL,10,FALSE)+6,1)</f>
        <v>A</v>
      </c>
      <c r="T40" s="90" t="str">
        <f>MID(VLOOKUP($A40,Seqs!$A:$B,2,FALSE),VLOOKUP($A40,'NonXtal_SegEnds_Prot#'!A:AL,10,FALSE)+7,1)</f>
        <v>C</v>
      </c>
      <c r="U40" s="90" t="str">
        <f>MID(VLOOKUP($A40,Seqs!$A:$B,2,FALSE),VLOOKUP($A40,'NonXtal_SegEnds_Prot#'!A:AL,10,FALSE)+8,1)</f>
        <v>V</v>
      </c>
      <c r="V40" s="90" t="str">
        <f>MID(VLOOKUP($A40,Seqs!$A:$B,2,FALSE),VLOOKUP($A40,'NonXtal_SegEnds_Prot#'!A:AL,10,FALSE)+9,1)</f>
        <v>P</v>
      </c>
      <c r="W40" s="64" t="str">
        <f>MID(VLOOKUP($A40,Seqs!$A:$B,2,FALSE),VLOOKUP($A40,'NonXtal_SegEnds_Prot#'!$A:$AL,22,FALSE)+6,1)</f>
        <v>L</v>
      </c>
      <c r="X40" s="90" t="str">
        <f>MID(VLOOKUP($A40,Seqs!$A:$B,2,FALSE),VLOOKUP($A40,'NonXtal_SegEnds_Prot#'!$A:$AL,22,FALSE)+7,1)</f>
        <v>A</v>
      </c>
      <c r="Y40" s="90" t="str">
        <f>MID(VLOOKUP($A40,Seqs!$A:$B,2,FALSE),VLOOKUP($A40,'NonXtal_SegEnds_Prot#'!$A:$AL,22,FALSE)+8,1)</f>
        <v>L</v>
      </c>
      <c r="Z40" s="90" t="str">
        <f>MID(VLOOKUP($A40,Seqs!$A:$B,2,FALSE),VLOOKUP($A40,'NonXtal_SegEnds_Prot#'!$A:$AL,22,FALSE)+9,1)</f>
        <v>P</v>
      </c>
      <c r="AA40" s="90" t="str">
        <f>MID(VLOOKUP($A40,Seqs!$A:$B,2,FALSE),VLOOKUP($A40,'NonXtal_SegEnds_Prot#'!$A:$AL,22,FALSE)+10,1)</f>
        <v>A</v>
      </c>
      <c r="AB40" s="64" t="str">
        <f>MID(VLOOKUP($A40,Seqs!$A:$B,2,FALSE),VLOOKUP($A40,'NonXtal_SegEnds_Prot#'!$A:$AL,28,FALSE)-4,1)</f>
        <v>T</v>
      </c>
      <c r="AC40" s="90" t="str">
        <f>MID(VLOOKUP($A40,Seqs!$A:$B,2,FALSE),VLOOKUP($A40,'NonXtal_SegEnds_Prot#'!$A:$AL,28,FALSE),1)</f>
        <v>P</v>
      </c>
    </row>
    <row r="41" spans="1:29" s="2" customFormat="1" x14ac:dyDescent="0.2">
      <c r="A41" s="2" t="s">
        <v>1119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64" t="str">
        <f>MID(VLOOKUP($A41,Seqs!$A:$B,2,FALSE),VLOOKUP($A41,'NonXtal_SegEnds_Prot#'!A:AL,10,FALSE),1)</f>
        <v>D</v>
      </c>
      <c r="S41" s="90" t="str">
        <f>MID(VLOOKUP($A41,Seqs!$A:$B,2,FALSE),VLOOKUP($A41,'NonXtal_SegEnds_Prot#'!A:AL,10,FALSE)+6,1)</f>
        <v>T</v>
      </c>
      <c r="T41" s="90" t="str">
        <f>MID(VLOOKUP($A41,Seqs!$A:$B,2,FALSE),VLOOKUP($A41,'NonXtal_SegEnds_Prot#'!A:AL,10,FALSE)+7,1)</f>
        <v>L</v>
      </c>
      <c r="U41" s="90" t="str">
        <f>MID(VLOOKUP($A41,Seqs!$A:$B,2,FALSE),VLOOKUP($A41,'NonXtal_SegEnds_Prot#'!A:AL,10,FALSE)+8,1)</f>
        <v>P</v>
      </c>
      <c r="V41" s="90" t="str">
        <f>MID(VLOOKUP($A41,Seqs!$A:$B,2,FALSE),VLOOKUP($A41,'NonXtal_SegEnds_Prot#'!A:AL,10,FALSE)+9,1)</f>
        <v>L</v>
      </c>
      <c r="W41" s="64" t="str">
        <f>MID(VLOOKUP($A41,Seqs!$A:$B,2,FALSE),VLOOKUP($A41,'NonXtal_SegEnds_Prot#'!$A:$AL,22,FALSE)+6,1)</f>
        <v>I</v>
      </c>
      <c r="X41" s="90" t="str">
        <f>MID(VLOOKUP($A41,Seqs!$A:$B,2,FALSE),VLOOKUP($A41,'NonXtal_SegEnds_Prot#'!$A:$AL,22,FALSE)+7,1)</f>
        <v>A</v>
      </c>
      <c r="Y41" s="90" t="str">
        <f>MID(VLOOKUP($A41,Seqs!$A:$B,2,FALSE),VLOOKUP($A41,'NonXtal_SegEnds_Prot#'!$A:$AL,22,FALSE)+8,1)</f>
        <v>I</v>
      </c>
      <c r="Z41" s="90" t="str">
        <f>MID(VLOOKUP($A41,Seqs!$A:$B,2,FALSE),VLOOKUP($A41,'NonXtal_SegEnds_Prot#'!$A:$AL,22,FALSE)+9,1)</f>
        <v>P</v>
      </c>
      <c r="AA41" s="90" t="str">
        <f>MID(VLOOKUP($A41,Seqs!$A:$B,2,FALSE),VLOOKUP($A41,'NonXtal_SegEnds_Prot#'!$A:$AL,22,FALSE)+10,1)</f>
        <v>H</v>
      </c>
      <c r="AB41" s="64" t="str">
        <f>MID(VLOOKUP($A41,Seqs!$A:$B,2,FALSE),VLOOKUP($A41,'NonXtal_SegEnds_Prot#'!$A:$AL,28,FALSE)-4,1)</f>
        <v>A</v>
      </c>
      <c r="AC41" s="90" t="str">
        <f>MID(VLOOKUP($A41,Seqs!$A:$B,2,FALSE),VLOOKUP($A41,'NonXtal_SegEnds_Prot#'!$A:$AL,28,FALSE),1)</f>
        <v>P</v>
      </c>
    </row>
    <row r="42" spans="1:29" s="2" customFormat="1" x14ac:dyDescent="0.2">
      <c r="A42" s="2" t="s">
        <v>357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64" t="str">
        <f>MID(VLOOKUP($A42,Seqs!$A:$B,2,FALSE),VLOOKUP($A42,'NonXtal_SegEnds_Prot#'!A:AL,10,FALSE),1)</f>
        <v>D</v>
      </c>
      <c r="S42" s="90" t="str">
        <f>MID(VLOOKUP($A42,Seqs!$A:$B,2,FALSE),VLOOKUP($A42,'NonXtal_SegEnds_Prot#'!A:AL,10,FALSE)+6,1)</f>
        <v>S</v>
      </c>
      <c r="T42" s="90" t="str">
        <f>MID(VLOOKUP($A42,Seqs!$A:$B,2,FALSE),VLOOKUP($A42,'NonXtal_SegEnds_Prot#'!A:AL,10,FALSE)+7,1)</f>
        <v>L</v>
      </c>
      <c r="U42" s="90" t="str">
        <f>MID(VLOOKUP($A42,Seqs!$A:$B,2,FALSE),VLOOKUP($A42,'NonXtal_SegEnds_Prot#'!A:AL,10,FALSE)+8,1)</f>
        <v>P</v>
      </c>
      <c r="V42" s="90" t="str">
        <f>MID(VLOOKUP($A42,Seqs!$A:$B,2,FALSE),VLOOKUP($A42,'NonXtal_SegEnds_Prot#'!A:AL,10,FALSE)+9,1)</f>
        <v>F</v>
      </c>
      <c r="W42" s="64" t="str">
        <f>MID(VLOOKUP($A42,Seqs!$A:$B,2,FALSE),VLOOKUP($A42,'NonXtal_SegEnds_Prot#'!$A:$AL,22,FALSE)+6,1)</f>
        <v>M</v>
      </c>
      <c r="X42" s="90" t="str">
        <f>MID(VLOOKUP($A42,Seqs!$A:$B,2,FALSE),VLOOKUP($A42,'NonXtal_SegEnds_Prot#'!$A:$AL,22,FALSE)+7,1)</f>
        <v>C</v>
      </c>
      <c r="Y42" s="90" t="str">
        <f>MID(VLOOKUP($A42,Seqs!$A:$B,2,FALSE),VLOOKUP($A42,'NonXtal_SegEnds_Prot#'!$A:$AL,22,FALSE)+8,1)</f>
        <v>I</v>
      </c>
      <c r="Z42" s="90" t="str">
        <f>MID(VLOOKUP($A42,Seqs!$A:$B,2,FALSE),VLOOKUP($A42,'NonXtal_SegEnds_Prot#'!$A:$AL,22,FALSE)+9,1)</f>
        <v>P</v>
      </c>
      <c r="AA42" s="90" t="str">
        <f>MID(VLOOKUP($A42,Seqs!$A:$B,2,FALSE),VLOOKUP($A42,'NonXtal_SegEnds_Prot#'!$A:$AL,22,FALSE)+10,1)</f>
        <v>V</v>
      </c>
      <c r="AB42" s="64" t="str">
        <f>MID(VLOOKUP($A42,Seqs!$A:$B,2,FALSE),VLOOKUP($A42,'NonXtal_SegEnds_Prot#'!$A:$AL,28,FALSE)-4,1)</f>
        <v>G</v>
      </c>
      <c r="AC42" s="90" t="str">
        <f>MID(VLOOKUP($A42,Seqs!$A:$B,2,FALSE),VLOOKUP($A42,'NonXtal_SegEnds_Prot#'!$A:$AL,28,FALSE),1)</f>
        <v>P</v>
      </c>
    </row>
    <row r="43" spans="1:29" s="2" customFormat="1" x14ac:dyDescent="0.2">
      <c r="A43" s="2" t="s">
        <v>370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64" t="str">
        <f>MID(VLOOKUP($A43,Seqs!$A:$B,2,FALSE),VLOOKUP($A43,'NonXtal_SegEnds_Prot#'!A:AL,10,FALSE),1)</f>
        <v>D</v>
      </c>
      <c r="S43" s="90" t="str">
        <f>MID(VLOOKUP($A43,Seqs!$A:$B,2,FALSE),VLOOKUP($A43,'NonXtal_SegEnds_Prot#'!A:AL,10,FALSE)+6,1)</f>
        <v>T</v>
      </c>
      <c r="T43" s="90" t="str">
        <f>MID(VLOOKUP($A43,Seqs!$A:$B,2,FALSE),VLOOKUP($A43,'NonXtal_SegEnds_Prot#'!A:AL,10,FALSE)+7,1)</f>
        <v>L</v>
      </c>
      <c r="U43" s="90" t="str">
        <f>MID(VLOOKUP($A43,Seqs!$A:$B,2,FALSE),VLOOKUP($A43,'NonXtal_SegEnds_Prot#'!A:AL,10,FALSE)+8,1)</f>
        <v>P</v>
      </c>
      <c r="V43" s="90" t="str">
        <f>MID(VLOOKUP($A43,Seqs!$A:$B,2,FALSE),VLOOKUP($A43,'NonXtal_SegEnds_Prot#'!A:AL,10,FALSE)+9,1)</f>
        <v>F</v>
      </c>
      <c r="W43" s="64" t="str">
        <f>MID(VLOOKUP($A43,Seqs!$A:$B,2,FALSE),VLOOKUP($A43,'NonXtal_SegEnds_Prot#'!$A:$AL,22,FALSE)+6,1)</f>
        <v>L</v>
      </c>
      <c r="X43" s="90" t="str">
        <f>MID(VLOOKUP($A43,Seqs!$A:$B,2,FALSE),VLOOKUP($A43,'NonXtal_SegEnds_Prot#'!$A:$AL,22,FALSE)+7,1)</f>
        <v>C</v>
      </c>
      <c r="Y43" s="90" t="str">
        <f>MID(VLOOKUP($A43,Seqs!$A:$B,2,FALSE),VLOOKUP($A43,'NonXtal_SegEnds_Prot#'!$A:$AL,22,FALSE)+8,1)</f>
        <v>I</v>
      </c>
      <c r="Z43" s="90" t="str">
        <f>MID(VLOOKUP($A43,Seqs!$A:$B,2,FALSE),VLOOKUP($A43,'NonXtal_SegEnds_Prot#'!$A:$AL,22,FALSE)+9,1)</f>
        <v>P</v>
      </c>
      <c r="AA43" s="90" t="str">
        <f>MID(VLOOKUP($A43,Seqs!$A:$B,2,FALSE),VLOOKUP($A43,'NonXtal_SegEnds_Prot#'!$A:$AL,22,FALSE)+10,1)</f>
        <v>E</v>
      </c>
      <c r="AB43" s="64" t="str">
        <f>MID(VLOOKUP($A43,Seqs!$A:$B,2,FALSE),VLOOKUP($A43,'NonXtal_SegEnds_Prot#'!$A:$AL,28,FALSE)-4,1)</f>
        <v>G</v>
      </c>
      <c r="AC43" s="90" t="str">
        <f>MID(VLOOKUP($A43,Seqs!$A:$B,2,FALSE),VLOOKUP($A43,'NonXtal_SegEnds_Prot#'!$A:$AL,28,FALSE),1)</f>
        <v>P</v>
      </c>
    </row>
    <row r="44" spans="1:29" s="2" customFormat="1" ht="17" customHeight="1" x14ac:dyDescent="0.25">
      <c r="A44" s="2" t="s">
        <v>521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64" t="str">
        <f>MID(VLOOKUP($A44,Seqs!$A:$B,2,FALSE),VLOOKUP($A44,'NonXtal_SegEnds_Prot#'!A:AL,10,FALSE),1)</f>
        <v>D</v>
      </c>
      <c r="S44" s="90" t="str">
        <f>MID(VLOOKUP($A44,Seqs!$A:$B,2,FALSE),VLOOKUP($A44,'NonXtal_SegEnds_Prot#'!A:AL,10,FALSE)+6,1)</f>
        <v>F</v>
      </c>
      <c r="T44" s="90" t="str">
        <f>MID(VLOOKUP($A44,Seqs!$A:$B,2,FALSE),VLOOKUP($A44,'NonXtal_SegEnds_Prot#'!A:AL,10,FALSE)+7,1)</f>
        <v>C</v>
      </c>
      <c r="U44" s="90" t="str">
        <f>MID(VLOOKUP($A44,Seqs!$A:$B,2,FALSE),VLOOKUP($A44,'NonXtal_SegEnds_Prot#'!A:AL,10,FALSE)+8,1)</f>
        <v>S</v>
      </c>
      <c r="V44" s="90" t="str">
        <f>MID(VLOOKUP($A44,Seqs!$A:$B,2,FALSE),VLOOKUP($A44,'NonXtal_SegEnds_Prot#'!A:AL,10,FALSE)+9,1)</f>
        <v>P</v>
      </c>
      <c r="W44" s="64" t="str">
        <f>MID(VLOOKUP($A44,Seqs!$A:$B,2,FALSE),VLOOKUP($A44,'NonXtal_SegEnds_Prot#'!$A:$AL,22,FALSE)+6,1)</f>
        <v>I</v>
      </c>
      <c r="X44" s="90" t="str">
        <f>MID(VLOOKUP($A44,Seqs!$A:$B,2,FALSE),VLOOKUP($A44,'NonXtal_SegEnds_Prot#'!$A:$AL,22,FALSE)+7,1)</f>
        <v>C</v>
      </c>
      <c r="Y44" s="90" t="str">
        <f>MID(VLOOKUP($A44,Seqs!$A:$B,2,FALSE),VLOOKUP($A44,'NonXtal_SegEnds_Prot#'!$A:$AL,22,FALSE)+8,1)</f>
        <v>S</v>
      </c>
      <c r="Z44" s="90" t="str">
        <f>MID(VLOOKUP($A44,Seqs!$A:$B,2,FALSE),VLOOKUP($A44,'NonXtal_SegEnds_Prot#'!$A:$AL,22,FALSE)+9,1)</f>
        <v>P</v>
      </c>
      <c r="AA44" s="90" t="str">
        <f>MID(VLOOKUP($A44,Seqs!$A:$B,2,FALSE),VLOOKUP($A44,'NonXtal_SegEnds_Prot#'!$A:$AL,22,FALSE)+10,1)</f>
        <v>L</v>
      </c>
      <c r="AB44" s="64" t="str">
        <f>MID(VLOOKUP($A44,Seqs!$A:$B,2,FALSE),VLOOKUP($A44,'NonXtal_SegEnds_Prot#'!$A:$AL,28,FALSE)-4,1)</f>
        <v>Q</v>
      </c>
      <c r="AC44" s="90" t="str">
        <f>MID(VLOOKUP($A44,Seqs!$A:$B,2,FALSE),VLOOKUP($A44,'NonXtal_SegEnds_Prot#'!$A:$AL,28,FALSE),1)</f>
        <v>P</v>
      </c>
    </row>
    <row r="45" spans="1:29" s="2" customFormat="1" x14ac:dyDescent="0.2">
      <c r="A45" s="2" t="s">
        <v>437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64" t="str">
        <f>MID(VLOOKUP($A45,Seqs!$A:$B,2,FALSE),VLOOKUP($A45,'NonXtal_SegEnds_Prot#'!A:AL,10,FALSE),1)</f>
        <v>D</v>
      </c>
      <c r="S45" s="90" t="str">
        <f>MID(VLOOKUP($A45,Seqs!$A:$B,2,FALSE),VLOOKUP($A45,'NonXtal_SegEnds_Prot#'!A:AL,10,FALSE)+6,1)</f>
        <v>S</v>
      </c>
      <c r="T45" s="90" t="str">
        <f>MID(VLOOKUP($A45,Seqs!$A:$B,2,FALSE),VLOOKUP($A45,'NonXtal_SegEnds_Prot#'!A:AL,10,FALSE)+7,1)</f>
        <v>C</v>
      </c>
      <c r="U45" s="90" t="str">
        <f>MID(VLOOKUP($A45,Seqs!$A:$B,2,FALSE),VLOOKUP($A45,'NonXtal_SegEnds_Prot#'!A:AL,10,FALSE)+8,1)</f>
        <v>V</v>
      </c>
      <c r="V45" s="90" t="str">
        <f>MID(VLOOKUP($A45,Seqs!$A:$B,2,FALSE),VLOOKUP($A45,'NonXtal_SegEnds_Prot#'!A:AL,10,FALSE)+9,1)</f>
        <v>V</v>
      </c>
      <c r="W45" s="64" t="str">
        <f>MID(VLOOKUP($A45,Seqs!$A:$B,2,FALSE),VLOOKUP($A45,'NonXtal_SegEnds_Prot#'!$A:$AL,22,FALSE)+6,1)</f>
        <v>V</v>
      </c>
      <c r="X45" s="90" t="str">
        <f>MID(VLOOKUP($A45,Seqs!$A:$B,2,FALSE),VLOOKUP($A45,'NonXtal_SegEnds_Prot#'!$A:$AL,22,FALSE)+7,1)</f>
        <v>F</v>
      </c>
      <c r="Y45" s="90" t="str">
        <f>MID(VLOOKUP($A45,Seqs!$A:$B,2,FALSE),VLOOKUP($A45,'NonXtal_SegEnds_Prot#'!$A:$AL,22,FALSE)+8,1)</f>
        <v>L</v>
      </c>
      <c r="Z45" s="90" t="str">
        <f>MID(VLOOKUP($A45,Seqs!$A:$B,2,FALSE),VLOOKUP($A45,'NonXtal_SegEnds_Prot#'!$A:$AL,22,FALSE)+9,1)</f>
        <v>P</v>
      </c>
      <c r="AA45" s="90" t="str">
        <f>MID(VLOOKUP($A45,Seqs!$A:$B,2,FALSE),VLOOKUP($A45,'NonXtal_SegEnds_Prot#'!$A:$AL,22,FALSE)+10,1)</f>
        <v>S</v>
      </c>
      <c r="AB45" s="64" t="str">
        <f>MID(VLOOKUP($A45,Seqs!$A:$B,2,FALSE),VLOOKUP($A45,'NonXtal_SegEnds_Prot#'!$A:$AL,28,FALSE)-4,1)</f>
        <v>M</v>
      </c>
      <c r="AC45" s="90" t="str">
        <f>MID(VLOOKUP($A45,Seqs!$A:$B,2,FALSE),VLOOKUP($A45,'NonXtal_SegEnds_Prot#'!$A:$AL,28,FALSE),1)</f>
        <v>P</v>
      </c>
    </row>
    <row r="46" spans="1:29" s="2" customFormat="1" x14ac:dyDescent="0.2">
      <c r="A46" s="2" t="s">
        <v>453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64" t="str">
        <f>MID(VLOOKUP($A46,Seqs!$A:$B,2,FALSE),VLOOKUP($A46,'NonXtal_SegEnds_Prot#'!A:AL,10,FALSE),1)</f>
        <v>D</v>
      </c>
      <c r="S46" s="90" t="str">
        <f>MID(VLOOKUP($A46,Seqs!$A:$B,2,FALSE),VLOOKUP($A46,'NonXtal_SegEnds_Prot#'!A:AL,10,FALSE)+6,1)</f>
        <v>S</v>
      </c>
      <c r="T46" s="90" t="str">
        <f>MID(VLOOKUP($A46,Seqs!$A:$B,2,FALSE),VLOOKUP($A46,'NonXtal_SegEnds_Prot#'!A:AL,10,FALSE)+7,1)</f>
        <v>C</v>
      </c>
      <c r="U46" s="90" t="str">
        <f>MID(VLOOKUP($A46,Seqs!$A:$B,2,FALSE),VLOOKUP($A46,'NonXtal_SegEnds_Prot#'!A:AL,10,FALSE)+8,1)</f>
        <v>L</v>
      </c>
      <c r="V46" s="90" t="str">
        <f>MID(VLOOKUP($A46,Seqs!$A:$B,2,FALSE),VLOOKUP($A46,'NonXtal_SegEnds_Prot#'!A:AL,10,FALSE)+9,1)</f>
        <v>V</v>
      </c>
      <c r="W46" s="64" t="str">
        <f>MID(VLOOKUP($A46,Seqs!$A:$B,2,FALSE),VLOOKUP($A46,'NonXtal_SegEnds_Prot#'!$A:$AL,22,FALSE)+6,1)</f>
        <v>I</v>
      </c>
      <c r="X46" s="90" t="str">
        <f>MID(VLOOKUP($A46,Seqs!$A:$B,2,FALSE),VLOOKUP($A46,'NonXtal_SegEnds_Prot#'!$A:$AL,22,FALSE)+7,1)</f>
        <v>F</v>
      </c>
      <c r="Y46" s="90" t="str">
        <f>MID(VLOOKUP($A46,Seqs!$A:$B,2,FALSE),VLOOKUP($A46,'NonXtal_SegEnds_Prot#'!$A:$AL,22,FALSE)+8,1)</f>
        <v>L</v>
      </c>
      <c r="Z46" s="90" t="str">
        <f>MID(VLOOKUP($A46,Seqs!$A:$B,2,FALSE),VLOOKUP($A46,'NonXtal_SegEnds_Prot#'!$A:$AL,22,FALSE)+9,1)</f>
        <v>P</v>
      </c>
      <c r="AA46" s="90" t="str">
        <f>MID(VLOOKUP($A46,Seqs!$A:$B,2,FALSE),VLOOKUP($A46,'NonXtal_SegEnds_Prot#'!$A:$AL,22,FALSE)+10,1)</f>
        <v>S</v>
      </c>
      <c r="AB46" s="64" t="str">
        <f>MID(VLOOKUP($A46,Seqs!$A:$B,2,FALSE),VLOOKUP($A46,'NonXtal_SegEnds_Prot#'!$A:$AL,28,FALSE)-4,1)</f>
        <v>L</v>
      </c>
      <c r="AC46" s="90" t="str">
        <f>MID(VLOOKUP($A46,Seqs!$A:$B,2,FALSE),VLOOKUP($A46,'NonXtal_SegEnds_Prot#'!$A:$AL,28,FALSE),1)</f>
        <v>P</v>
      </c>
    </row>
    <row r="47" spans="1:29" s="2" customFormat="1" x14ac:dyDescent="0.2">
      <c r="A47" s="2" t="s">
        <v>463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64" t="str">
        <f>MID(VLOOKUP($A47,Seqs!$A:$B,2,FALSE),VLOOKUP($A47,'NonXtal_SegEnds_Prot#'!A:AL,10,FALSE),1)</f>
        <v>D</v>
      </c>
      <c r="S47" s="90" t="str">
        <f>MID(VLOOKUP($A47,Seqs!$A:$B,2,FALSE),VLOOKUP($A47,'NonXtal_SegEnds_Prot#'!A:AL,10,FALSE)+6,1)</f>
        <v>L</v>
      </c>
      <c r="T47" s="90" t="str">
        <f>MID(VLOOKUP($A47,Seqs!$A:$B,2,FALSE),VLOOKUP($A47,'NonXtal_SegEnds_Prot#'!A:AL,10,FALSE)+7,1)</f>
        <v>L</v>
      </c>
      <c r="U47" s="90" t="str">
        <f>MID(VLOOKUP($A47,Seqs!$A:$B,2,FALSE),VLOOKUP($A47,'NonXtal_SegEnds_Prot#'!A:AL,10,FALSE)+8,1)</f>
        <v>Q</v>
      </c>
      <c r="V47" s="90" t="str">
        <f>MID(VLOOKUP($A47,Seqs!$A:$B,2,FALSE),VLOOKUP($A47,'NonXtal_SegEnds_Prot#'!A:AL,10,FALSE)+9,1)</f>
        <v>P</v>
      </c>
      <c r="W47" s="64" t="str">
        <f>MID(VLOOKUP($A47,Seqs!$A:$B,2,FALSE),VLOOKUP($A47,'NonXtal_SegEnds_Prot#'!$A:$AL,22,FALSE)+6,1)</f>
        <v>S</v>
      </c>
      <c r="X47" s="90" t="str">
        <f>MID(VLOOKUP($A47,Seqs!$A:$B,2,FALSE),VLOOKUP($A47,'NonXtal_SegEnds_Prot#'!$A:$AL,22,FALSE)+7,1)</f>
        <v>F</v>
      </c>
      <c r="Y47" s="90" t="str">
        <f>MID(VLOOKUP($A47,Seqs!$A:$B,2,FALSE),VLOOKUP($A47,'NonXtal_SegEnds_Prot#'!$A:$AL,22,FALSE)+8,1)</f>
        <v>A</v>
      </c>
      <c r="Z47" s="90" t="str">
        <f>MID(VLOOKUP($A47,Seqs!$A:$B,2,FALSE),VLOOKUP($A47,'NonXtal_SegEnds_Prot#'!$A:$AL,22,FALSE)+9,1)</f>
        <v>P</v>
      </c>
      <c r="AA47" s="90" t="str">
        <f>MID(VLOOKUP($A47,Seqs!$A:$B,2,FALSE),VLOOKUP($A47,'NonXtal_SegEnds_Prot#'!$A:$AL,22,FALSE)+10,1)</f>
        <v>L</v>
      </c>
      <c r="AB47" s="64" t="str">
        <f>MID(VLOOKUP($A47,Seqs!$A:$B,2,FALSE),VLOOKUP($A47,'NonXtal_SegEnds_Prot#'!$A:$AL,28,FALSE)-4,1)</f>
        <v>D</v>
      </c>
      <c r="AC47" s="90" t="str">
        <f>MID(VLOOKUP($A47,Seqs!$A:$B,2,FALSE),VLOOKUP($A47,'NonXtal_SegEnds_Prot#'!$A:$AL,28,FALSE),1)</f>
        <v>P</v>
      </c>
    </row>
    <row r="48" spans="1:29" s="2" customFormat="1" x14ac:dyDescent="0.2">
      <c r="A48" s="2" t="s">
        <v>407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64" t="str">
        <f>MID(VLOOKUP($A48,Seqs!$A:$B,2,FALSE),VLOOKUP($A48,'NonXtal_SegEnds_Prot#'!A:AL,10,FALSE),1)</f>
        <v>E</v>
      </c>
      <c r="S48" s="90" t="str">
        <f>MID(VLOOKUP($A48,Seqs!$A:$B,2,FALSE),VLOOKUP($A48,'NonXtal_SegEnds_Prot#'!A:AL,10,FALSE)+6,1)</f>
        <v>T</v>
      </c>
      <c r="T48" s="90" t="str">
        <f>MID(VLOOKUP($A48,Seqs!$A:$B,2,FALSE),VLOOKUP($A48,'NonXtal_SegEnds_Prot#'!A:AL,10,FALSE)+7,1)</f>
        <v>L</v>
      </c>
      <c r="U48" s="90" t="str">
        <f>MID(VLOOKUP($A48,Seqs!$A:$B,2,FALSE),VLOOKUP($A48,'NonXtal_SegEnds_Prot#'!A:AL,10,FALSE)+8,1)</f>
        <v>P</v>
      </c>
      <c r="V48" s="90" t="str">
        <f>MID(VLOOKUP($A48,Seqs!$A:$B,2,FALSE),VLOOKUP($A48,'NonXtal_SegEnds_Prot#'!A:AL,10,FALSE)+9,1)</f>
        <v>L</v>
      </c>
      <c r="W48" s="64" t="str">
        <f>MID(VLOOKUP($A48,Seqs!$A:$B,2,FALSE),VLOOKUP($A48,'NonXtal_SegEnds_Prot#'!$A:$AL,22,FALSE)+6,1)</f>
        <v>V</v>
      </c>
      <c r="X48" s="90" t="str">
        <f>MID(VLOOKUP($A48,Seqs!$A:$B,2,FALSE),VLOOKUP($A48,'NonXtal_SegEnds_Prot#'!$A:$AL,22,FALSE)+7,1)</f>
        <v>H</v>
      </c>
      <c r="Y48" s="90" t="str">
        <f>MID(VLOOKUP($A48,Seqs!$A:$B,2,FALSE),VLOOKUP($A48,'NonXtal_SegEnds_Prot#'!$A:$AL,22,FALSE)+8,1)</f>
        <v>Y</v>
      </c>
      <c r="Z48" s="90" t="str">
        <f>MID(VLOOKUP($A48,Seqs!$A:$B,2,FALSE),VLOOKUP($A48,'NonXtal_SegEnds_Prot#'!$A:$AL,22,FALSE)+9,1)</f>
        <v>P</v>
      </c>
      <c r="AA48" s="90" t="str">
        <f>MID(VLOOKUP($A48,Seqs!$A:$B,2,FALSE),VLOOKUP($A48,'NonXtal_SegEnds_Prot#'!$A:$AL,22,FALSE)+10,1)</f>
        <v>V</v>
      </c>
      <c r="AB48" s="64" t="str">
        <f>MID(VLOOKUP($A48,Seqs!$A:$B,2,FALSE),VLOOKUP($A48,'NonXtal_SegEnds_Prot#'!$A:$AL,28,FALSE)-4,1)</f>
        <v>G</v>
      </c>
      <c r="AC48" s="90" t="str">
        <f>MID(VLOOKUP($A48,Seqs!$A:$B,2,FALSE),VLOOKUP($A48,'NonXtal_SegEnds_Prot#'!$A:$AL,28,FALSE),1)</f>
        <v>P</v>
      </c>
    </row>
    <row r="49" spans="1:29" s="2" customFormat="1" x14ac:dyDescent="0.2">
      <c r="A49" s="2" t="s">
        <v>461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64" t="str">
        <f>MID(VLOOKUP($A49,Seqs!$A:$B,2,FALSE),VLOOKUP($A49,'NonXtal_SegEnds_Prot#'!A:AL,10,FALSE),1)</f>
        <v>N</v>
      </c>
      <c r="S49" s="90" t="str">
        <f>MID(VLOOKUP($A49,Seqs!$A:$B,2,FALSE),VLOOKUP($A49,'NonXtal_SegEnds_Prot#'!A:AL,10,FALSE)+6,1)</f>
        <v>A</v>
      </c>
      <c r="T49" s="90" t="str">
        <f>MID(VLOOKUP($A49,Seqs!$A:$B,2,FALSE),VLOOKUP($A49,'NonXtal_SegEnds_Prot#'!A:AL,10,FALSE)+7,1)</f>
        <v>M</v>
      </c>
      <c r="U49" s="90" t="str">
        <f>MID(VLOOKUP($A49,Seqs!$A:$B,2,FALSE),VLOOKUP($A49,'NonXtal_SegEnds_Prot#'!A:AL,10,FALSE)+8,1)</f>
        <v>P</v>
      </c>
      <c r="V49" s="90" t="str">
        <f>MID(VLOOKUP($A49,Seqs!$A:$B,2,FALSE),VLOOKUP($A49,'NonXtal_SegEnds_Prot#'!A:AL,10,FALSE)+9,1)</f>
        <v>F</v>
      </c>
      <c r="W49" s="64" t="str">
        <f>MID(VLOOKUP($A49,Seqs!$A:$B,2,FALSE),VLOOKUP($A49,'NonXtal_SegEnds_Prot#'!$A:$AL,22,FALSE)+6,1)</f>
        <v>I</v>
      </c>
      <c r="X49" s="90" t="str">
        <f>MID(VLOOKUP($A49,Seqs!$A:$B,2,FALSE),VLOOKUP($A49,'NonXtal_SegEnds_Prot#'!$A:$AL,22,FALSE)+7,1)</f>
        <v>I</v>
      </c>
      <c r="Y49" s="90" t="str">
        <f>MID(VLOOKUP($A49,Seqs!$A:$B,2,FALSE),VLOOKUP($A49,'NonXtal_SegEnds_Prot#'!$A:$AL,22,FALSE)+8,1)</f>
        <v>I</v>
      </c>
      <c r="Z49" s="90" t="str">
        <f>MID(VLOOKUP($A49,Seqs!$A:$B,2,FALSE),VLOOKUP($A49,'NonXtal_SegEnds_Prot#'!$A:$AL,22,FALSE)+9,1)</f>
        <v>P</v>
      </c>
      <c r="AA49" s="90" t="str">
        <f>MID(VLOOKUP($A49,Seqs!$A:$B,2,FALSE),VLOOKUP($A49,'NonXtal_SegEnds_Prot#'!$A:$AL,22,FALSE)+10,1)</f>
        <v>V</v>
      </c>
      <c r="AB49" s="64" t="str">
        <f>MID(VLOOKUP($A49,Seqs!$A:$B,2,FALSE),VLOOKUP($A49,'NonXtal_SegEnds_Prot#'!$A:$AL,28,FALSE)-4,1)</f>
        <v>F</v>
      </c>
      <c r="AC49" s="90" t="str">
        <f>MID(VLOOKUP($A49,Seqs!$A:$B,2,FALSE),VLOOKUP($A49,'NonXtal_SegEnds_Prot#'!$A:$AL,28,FALSE),1)</f>
        <v>S</v>
      </c>
    </row>
    <row r="50" spans="1:29" s="2" customFormat="1" x14ac:dyDescent="0.2">
      <c r="A50" s="2" t="s">
        <v>492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64" t="str">
        <f>MID(VLOOKUP($A50,Seqs!$A:$B,2,FALSE),VLOOKUP($A50,'NonXtal_SegEnds_Prot#'!A:AL,10,FALSE),1)</f>
        <v>D</v>
      </c>
      <c r="S50" s="90" t="str">
        <f>MID(VLOOKUP($A50,Seqs!$A:$B,2,FALSE),VLOOKUP($A50,'NonXtal_SegEnds_Prot#'!A:AL,10,FALSE)+6,1)</f>
        <v>G</v>
      </c>
      <c r="T50" s="90" t="str">
        <f>MID(VLOOKUP($A50,Seqs!$A:$B,2,FALSE),VLOOKUP($A50,'NonXtal_SegEnds_Prot#'!A:AL,10,FALSE)+7,1)</f>
        <v>M</v>
      </c>
      <c r="U50" s="90" t="str">
        <f>MID(VLOOKUP($A50,Seqs!$A:$B,2,FALSE),VLOOKUP($A50,'NonXtal_SegEnds_Prot#'!A:AL,10,FALSE)+8,1)</f>
        <v>P</v>
      </c>
      <c r="V50" s="90" t="str">
        <f>MID(VLOOKUP($A50,Seqs!$A:$B,2,FALSE),VLOOKUP($A50,'NonXtal_SegEnds_Prot#'!A:AL,10,FALSE)+9,1)</f>
        <v>F</v>
      </c>
      <c r="W50" s="64" t="str">
        <f>MID(VLOOKUP($A50,Seqs!$A:$B,2,FALSE),VLOOKUP($A50,'NonXtal_SegEnds_Prot#'!$A:$AL,22,FALSE)+6,1)</f>
        <v>S</v>
      </c>
      <c r="X50" s="90" t="str">
        <f>MID(VLOOKUP($A50,Seqs!$A:$B,2,FALSE),VLOOKUP($A50,'NonXtal_SegEnds_Prot#'!$A:$AL,22,FALSE)+7,1)</f>
        <v>I</v>
      </c>
      <c r="Y50" s="90" t="str">
        <f>MID(VLOOKUP($A50,Seqs!$A:$B,2,FALSE),VLOOKUP($A50,'NonXtal_SegEnds_Prot#'!$A:$AL,22,FALSE)+8,1)</f>
        <v>T</v>
      </c>
      <c r="Z50" s="90" t="str">
        <f>MID(VLOOKUP($A50,Seqs!$A:$B,2,FALSE),VLOOKUP($A50,'NonXtal_SegEnds_Prot#'!$A:$AL,22,FALSE)+9,1)</f>
        <v>P</v>
      </c>
      <c r="AA50" s="90" t="str">
        <f>MID(VLOOKUP($A50,Seqs!$A:$B,2,FALSE),VLOOKUP($A50,'NonXtal_SegEnds_Prot#'!$A:$AL,22,FALSE)+10,1)</f>
        <v>V</v>
      </c>
      <c r="AB50" s="64" t="str">
        <f>MID(VLOOKUP($A50,Seqs!$A:$B,2,FALSE),VLOOKUP($A50,'NonXtal_SegEnds_Prot#'!$A:$AL,28,FALSE)-4,1)</f>
        <v>A</v>
      </c>
      <c r="AC50" s="90" t="str">
        <f>MID(VLOOKUP($A50,Seqs!$A:$B,2,FALSE),VLOOKUP($A50,'NonXtal_SegEnds_Prot#'!$A:$AL,28,FALSE),1)</f>
        <v>P</v>
      </c>
    </row>
    <row r="51" spans="1:29" s="2" customFormat="1" x14ac:dyDescent="0.2">
      <c r="A51" s="2" t="s">
        <v>574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64" t="str">
        <f>MID(VLOOKUP($A51,Seqs!$A:$B,2,FALSE),VLOOKUP($A51,'NonXtal_SegEnds_Prot#'!A:AL,10,FALSE),1)</f>
        <v>D</v>
      </c>
      <c r="S51" s="90" t="str">
        <f>MID(VLOOKUP($A51,Seqs!$A:$B,2,FALSE),VLOOKUP($A51,'NonXtal_SegEnds_Prot#'!A:AL,10,FALSE)+6,1)</f>
        <v>S</v>
      </c>
      <c r="T51" s="90" t="str">
        <f>MID(VLOOKUP($A51,Seqs!$A:$B,2,FALSE),VLOOKUP($A51,'NonXtal_SegEnds_Prot#'!A:AL,10,FALSE)+7,1)</f>
        <v>V</v>
      </c>
      <c r="U51" s="90" t="str">
        <f>MID(VLOOKUP($A51,Seqs!$A:$B,2,FALSE),VLOOKUP($A51,'NonXtal_SegEnds_Prot#'!A:AL,10,FALSE)+8,1)</f>
        <v>P</v>
      </c>
      <c r="V51" s="90" t="str">
        <f>MID(VLOOKUP($A51,Seqs!$A:$B,2,FALSE),VLOOKUP($A51,'NonXtal_SegEnds_Prot#'!A:AL,10,FALSE)+9,1)</f>
        <v>F</v>
      </c>
      <c r="W51" s="64" t="str">
        <f>MID(VLOOKUP($A51,Seqs!$A:$B,2,FALSE),VLOOKUP($A51,'NonXtal_SegEnds_Prot#'!$A:$AL,22,FALSE)+6,1)</f>
        <v>V</v>
      </c>
      <c r="X51" s="90" t="str">
        <f>MID(VLOOKUP($A51,Seqs!$A:$B,2,FALSE),VLOOKUP($A51,'NonXtal_SegEnds_Prot#'!$A:$AL,22,FALSE)+7,1)</f>
        <v>I</v>
      </c>
      <c r="Y51" s="90" t="str">
        <f>MID(VLOOKUP($A51,Seqs!$A:$B,2,FALSE),VLOOKUP($A51,'NonXtal_SegEnds_Prot#'!$A:$AL,22,FALSE)+8,1)</f>
        <v>L</v>
      </c>
      <c r="Z51" s="90" t="str">
        <f>MID(VLOOKUP($A51,Seqs!$A:$B,2,FALSE),VLOOKUP($A51,'NonXtal_SegEnds_Prot#'!$A:$AL,22,FALSE)+9,1)</f>
        <v>P</v>
      </c>
      <c r="AA51" s="90" t="str">
        <f>MID(VLOOKUP($A51,Seqs!$A:$B,2,FALSE),VLOOKUP($A51,'NonXtal_SegEnds_Prot#'!$A:$AL,22,FALSE)+10,1)</f>
        <v>I</v>
      </c>
      <c r="AB51" s="64" t="str">
        <f>MID(VLOOKUP($A51,Seqs!$A:$B,2,FALSE),VLOOKUP($A51,'NonXtal_SegEnds_Prot#'!$A:$AL,28,FALSE)-4,1)</f>
        <v>G</v>
      </c>
      <c r="AC51" s="90" t="str">
        <f>MID(VLOOKUP($A51,Seqs!$A:$B,2,FALSE),VLOOKUP($A51,'NonXtal_SegEnds_Prot#'!$A:$AL,28,FALSE),1)</f>
        <v>P</v>
      </c>
    </row>
    <row r="52" spans="1:29" s="2" customFormat="1" x14ac:dyDescent="0.2">
      <c r="A52" s="2" t="s">
        <v>575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64" t="str">
        <f>MID(VLOOKUP($A52,Seqs!$A:$B,2,FALSE),VLOOKUP($A52,'NonXtal_SegEnds_Prot#'!A:AL,10,FALSE),1)</f>
        <v>D</v>
      </c>
      <c r="S52" s="90" t="str">
        <f>MID(VLOOKUP($A52,Seqs!$A:$B,2,FALSE),VLOOKUP($A52,'NonXtal_SegEnds_Prot#'!A:AL,10,FALSE)+6,1)</f>
        <v>G</v>
      </c>
      <c r="T52" s="90" t="str">
        <f>MID(VLOOKUP($A52,Seqs!$A:$B,2,FALSE),VLOOKUP($A52,'NonXtal_SegEnds_Prot#'!A:AL,10,FALSE)+7,1)</f>
        <v>L</v>
      </c>
      <c r="U52" s="90" t="str">
        <f>MID(VLOOKUP($A52,Seqs!$A:$B,2,FALSE),VLOOKUP($A52,'NonXtal_SegEnds_Prot#'!A:AL,10,FALSE)+8,1)</f>
        <v>P</v>
      </c>
      <c r="V52" s="90" t="str">
        <f>MID(VLOOKUP($A52,Seqs!$A:$B,2,FALSE),VLOOKUP($A52,'NonXtal_SegEnds_Prot#'!A:AL,10,FALSE)+9,1)</f>
        <v>F</v>
      </c>
      <c r="W52" s="64" t="str">
        <f>MID(VLOOKUP($A52,Seqs!$A:$B,2,FALSE),VLOOKUP($A52,'NonXtal_SegEnds_Prot#'!$A:$AL,22,FALSE)+6,1)</f>
        <v>V</v>
      </c>
      <c r="X52" s="90" t="str">
        <f>MID(VLOOKUP($A52,Seqs!$A:$B,2,FALSE),VLOOKUP($A52,'NonXtal_SegEnds_Prot#'!$A:$AL,22,FALSE)+7,1)</f>
        <v>I</v>
      </c>
      <c r="Y52" s="90" t="str">
        <f>MID(VLOOKUP($A52,Seqs!$A:$B,2,FALSE),VLOOKUP($A52,'NonXtal_SegEnds_Prot#'!$A:$AL,22,FALSE)+8,1)</f>
        <v>L</v>
      </c>
      <c r="Z52" s="90" t="str">
        <f>MID(VLOOKUP($A52,Seqs!$A:$B,2,FALSE),VLOOKUP($A52,'NonXtal_SegEnds_Prot#'!$A:$AL,22,FALSE)+9,1)</f>
        <v>P</v>
      </c>
      <c r="AA52" s="90" t="str">
        <f>MID(VLOOKUP($A52,Seqs!$A:$B,2,FALSE),VLOOKUP($A52,'NonXtal_SegEnds_Prot#'!$A:$AL,22,FALSE)+10,1)</f>
        <v>I</v>
      </c>
      <c r="AB52" s="64" t="str">
        <f>MID(VLOOKUP($A52,Seqs!$A:$B,2,FALSE),VLOOKUP($A52,'NonXtal_SegEnds_Prot#'!$A:$AL,28,FALSE)-4,1)</f>
        <v>G</v>
      </c>
      <c r="AC52" s="90" t="str">
        <f>MID(VLOOKUP($A52,Seqs!$A:$B,2,FALSE),VLOOKUP($A52,'NonXtal_SegEnds_Prot#'!$A:$AL,28,FALSE),1)</f>
        <v>P</v>
      </c>
    </row>
    <row r="53" spans="1:29" s="2" customFormat="1" x14ac:dyDescent="0.2">
      <c r="A53" s="2" t="s">
        <v>505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64" t="str">
        <f>MID(VLOOKUP($A53,Seqs!$A:$B,2,FALSE),VLOOKUP($A53,'NonXtal_SegEnds_Prot#'!A:AL,10,FALSE),1)</f>
        <v>D</v>
      </c>
      <c r="S53" s="90" t="str">
        <f>MID(VLOOKUP($A53,Seqs!$A:$B,2,FALSE),VLOOKUP($A53,'NonXtal_SegEnds_Prot#'!A:AL,10,FALSE)+6,1)</f>
        <v>Y</v>
      </c>
      <c r="T53" s="90" t="str">
        <f>MID(VLOOKUP($A53,Seqs!$A:$B,2,FALSE),VLOOKUP($A53,'NonXtal_SegEnds_Prot#'!A:AL,10,FALSE)+7,1)</f>
        <v>P</v>
      </c>
      <c r="U53" s="90" t="str">
        <f>MID(VLOOKUP($A53,Seqs!$A:$B,2,FALSE),VLOOKUP($A53,'NonXtal_SegEnds_Prot#'!A:AL,10,FALSE)+8,1)</f>
        <v>Y</v>
      </c>
      <c r="V53" s="90" t="str">
        <f>MID(VLOOKUP($A53,Seqs!$A:$B,2,FALSE),VLOOKUP($A53,'NonXtal_SegEnds_Prot#'!A:AL,10,FALSE)+9,1)</f>
        <v>P</v>
      </c>
      <c r="W53" s="64" t="str">
        <f>MID(VLOOKUP($A53,Seqs!$A:$B,2,FALSE),VLOOKUP($A53,'NonXtal_SegEnds_Prot#'!$A:$AL,22,FALSE)+6,1)</f>
        <v>A</v>
      </c>
      <c r="X53" s="90" t="str">
        <f>MID(VLOOKUP($A53,Seqs!$A:$B,2,FALSE),VLOOKUP($A53,'NonXtal_SegEnds_Prot#'!$A:$AL,22,FALSE)+7,1)</f>
        <v>L</v>
      </c>
      <c r="Y53" s="90" t="str">
        <f>MID(VLOOKUP($A53,Seqs!$A:$B,2,FALSE),VLOOKUP($A53,'NonXtal_SegEnds_Prot#'!$A:$AL,22,FALSE)+8,1)</f>
        <v>L</v>
      </c>
      <c r="Z53" s="90" t="str">
        <f>MID(VLOOKUP($A53,Seqs!$A:$B,2,FALSE),VLOOKUP($A53,'NonXtal_SegEnds_Prot#'!$A:$AL,22,FALSE)+9,1)</f>
        <v>P</v>
      </c>
      <c r="AA53" s="90" t="str">
        <f>MID(VLOOKUP($A53,Seqs!$A:$B,2,FALSE),VLOOKUP($A53,'NonXtal_SegEnds_Prot#'!$A:$AL,22,FALSE)+10,1)</f>
        <v>N</v>
      </c>
      <c r="AB53" s="64" t="str">
        <f>MID(VLOOKUP($A53,Seqs!$A:$B,2,FALSE),VLOOKUP($A53,'NonXtal_SegEnds_Prot#'!$A:$AL,28,FALSE)-4,1)</f>
        <v>H</v>
      </c>
      <c r="AC53" s="90" t="str">
        <f>MID(VLOOKUP($A53,Seqs!$A:$B,2,FALSE),VLOOKUP($A53,'NonXtal_SegEnds_Prot#'!$A:$AL,28,FALSE),1)</f>
        <v>P</v>
      </c>
    </row>
    <row r="54" spans="1:29" s="2" customFormat="1" x14ac:dyDescent="0.2">
      <c r="A54" s="2" t="s">
        <v>579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64" t="str">
        <f>MID(VLOOKUP($A54,Seqs!$A:$B,2,FALSE),VLOOKUP($A54,'NonXtal_SegEnds_Prot#'!A:AL,10,FALSE),1)</f>
        <v>D</v>
      </c>
      <c r="S54" s="90" t="str">
        <f>MID(VLOOKUP($A54,Seqs!$A:$B,2,FALSE),VLOOKUP($A54,'NonXtal_SegEnds_Prot#'!A:AL,10,FALSE)+6,1)</f>
        <v>T</v>
      </c>
      <c r="T54" s="90" t="str">
        <f>MID(VLOOKUP($A54,Seqs!$A:$B,2,FALSE),VLOOKUP($A54,'NonXtal_SegEnds_Prot#'!A:AL,10,FALSE)+7,1)</f>
        <v>L</v>
      </c>
      <c r="U54" s="90" t="str">
        <f>MID(VLOOKUP($A54,Seqs!$A:$B,2,FALSE),VLOOKUP($A54,'NonXtal_SegEnds_Prot#'!A:AL,10,FALSE)+8,1)</f>
        <v>P</v>
      </c>
      <c r="V54" s="90" t="str">
        <f>MID(VLOOKUP($A54,Seqs!$A:$B,2,FALSE),VLOOKUP($A54,'NonXtal_SegEnds_Prot#'!A:AL,10,FALSE)+9,1)</f>
        <v>M</v>
      </c>
      <c r="W54" s="64" t="str">
        <f>MID(VLOOKUP($A54,Seqs!$A:$B,2,FALSE),VLOOKUP($A54,'NonXtal_SegEnds_Prot#'!$A:$AL,22,FALSE)+6,1)</f>
        <v>E</v>
      </c>
      <c r="X54" s="90" t="str">
        <f>MID(VLOOKUP($A54,Seqs!$A:$B,2,FALSE),VLOOKUP($A54,'NonXtal_SegEnds_Prot#'!$A:$AL,22,FALSE)+7,1)</f>
        <v>L</v>
      </c>
      <c r="Y54" s="90" t="str">
        <f>MID(VLOOKUP($A54,Seqs!$A:$B,2,FALSE),VLOOKUP($A54,'NonXtal_SegEnds_Prot#'!$A:$AL,22,FALSE)+8,1)</f>
        <v>L</v>
      </c>
      <c r="Z54" s="90" t="str">
        <f>MID(VLOOKUP($A54,Seqs!$A:$B,2,FALSE),VLOOKUP($A54,'NonXtal_SegEnds_Prot#'!$A:$AL,22,FALSE)+9,1)</f>
        <v>P</v>
      </c>
      <c r="AA54" s="90" t="str">
        <f>MID(VLOOKUP($A54,Seqs!$A:$B,2,FALSE),VLOOKUP($A54,'NonXtal_SegEnds_Prot#'!$A:$AL,22,FALSE)+10,1)</f>
        <v>I</v>
      </c>
      <c r="AB54" s="64" t="str">
        <f>MID(VLOOKUP($A54,Seqs!$A:$B,2,FALSE),VLOOKUP($A54,'NonXtal_SegEnds_Prot#'!$A:$AL,28,FALSE)-4,1)</f>
        <v>G</v>
      </c>
      <c r="AC54" s="90" t="str">
        <f>MID(VLOOKUP($A54,Seqs!$A:$B,2,FALSE),VLOOKUP($A54,'NonXtal_SegEnds_Prot#'!$A:$AL,28,FALSE),1)</f>
        <v>P</v>
      </c>
    </row>
    <row r="55" spans="1:29" s="2" customFormat="1" x14ac:dyDescent="0.2">
      <c r="A55" s="2" t="s">
        <v>360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64" t="str">
        <f>MID(VLOOKUP($A55,Seqs!$A:$B,2,FALSE),VLOOKUP($A55,'NonXtal_SegEnds_Prot#'!A:AL,10,FALSE),1)</f>
        <v>D</v>
      </c>
      <c r="S55" s="90" t="str">
        <f>MID(VLOOKUP($A55,Seqs!$A:$B,2,FALSE),VLOOKUP($A55,'NonXtal_SegEnds_Prot#'!A:AL,10,FALSE)+6,1)</f>
        <v>F</v>
      </c>
      <c r="T55" s="90" t="str">
        <f>MID(VLOOKUP($A55,Seqs!$A:$B,2,FALSE),VLOOKUP($A55,'NonXtal_SegEnds_Prot#'!A:AL,10,FALSE)+7,1)</f>
        <v>C</v>
      </c>
      <c r="U55" s="90" t="str">
        <f>MID(VLOOKUP($A55,Seqs!$A:$B,2,FALSE),VLOOKUP($A55,'NonXtal_SegEnds_Prot#'!A:AL,10,FALSE)+8,1)</f>
        <v>M</v>
      </c>
      <c r="V55" s="90" t="str">
        <f>MID(VLOOKUP($A55,Seqs!$A:$B,2,FALSE),VLOOKUP($A55,'NonXtal_SegEnds_Prot#'!A:AL,10,FALSE)+9,1)</f>
        <v>P</v>
      </c>
      <c r="W55" s="64" t="str">
        <f>MID(VLOOKUP($A55,Seqs!$A:$B,2,FALSE),VLOOKUP($A55,'NonXtal_SegEnds_Prot#'!$A:$AL,22,FALSE)+6,1)</f>
        <v>I</v>
      </c>
      <c r="X55" s="90" t="str">
        <f>MID(VLOOKUP($A55,Seqs!$A:$B,2,FALSE),VLOOKUP($A55,'NonXtal_SegEnds_Prot#'!$A:$AL,22,FALSE)+7,1)</f>
        <v>M</v>
      </c>
      <c r="Y55" s="90" t="str">
        <f>MID(VLOOKUP($A55,Seqs!$A:$B,2,FALSE),VLOOKUP($A55,'NonXtal_SegEnds_Prot#'!$A:$AL,22,FALSE)+8,1)</f>
        <v>T</v>
      </c>
      <c r="Z55" s="90" t="str">
        <f>MID(VLOOKUP($A55,Seqs!$A:$B,2,FALSE),VLOOKUP($A55,'NonXtal_SegEnds_Prot#'!$A:$AL,22,FALSE)+9,1)</f>
        <v>P</v>
      </c>
      <c r="AA55" s="90" t="str">
        <f>MID(VLOOKUP($A55,Seqs!$A:$B,2,FALSE),VLOOKUP($A55,'NonXtal_SegEnds_Prot#'!$A:$AL,22,FALSE)+10,1)</f>
        <v>Y</v>
      </c>
      <c r="AB55" s="64" t="str">
        <f>MID(VLOOKUP($A55,Seqs!$A:$B,2,FALSE),VLOOKUP($A55,'NonXtal_SegEnds_Prot#'!$A:$AL,28,FALSE)-4,1)</f>
        <v>L</v>
      </c>
      <c r="AC55" s="90" t="str">
        <f>MID(VLOOKUP($A55,Seqs!$A:$B,2,FALSE),VLOOKUP($A55,'NonXtal_SegEnds_Prot#'!$A:$AL,28,FALSE),1)</f>
        <v>P</v>
      </c>
    </row>
    <row r="56" spans="1:29" s="2" customFormat="1" x14ac:dyDescent="0.2">
      <c r="A56" s="2" t="s">
        <v>401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64" t="str">
        <f>MID(VLOOKUP($A56,Seqs!$A:$B,2,FALSE),VLOOKUP($A56,'NonXtal_SegEnds_Prot#'!A:AL,10,FALSE),1)</f>
        <v>D</v>
      </c>
      <c r="S56" s="90" t="str">
        <f>MID(VLOOKUP($A56,Seqs!$A:$B,2,FALSE),VLOOKUP($A56,'NonXtal_SegEnds_Prot#'!A:AL,10,FALSE)+6,1)</f>
        <v>A</v>
      </c>
      <c r="T56" s="90" t="str">
        <f>MID(VLOOKUP($A56,Seqs!$A:$B,2,FALSE),VLOOKUP($A56,'NonXtal_SegEnds_Prot#'!A:AL,10,FALSE)+7,1)</f>
        <v>C</v>
      </c>
      <c r="U56" s="90" t="str">
        <f>MID(VLOOKUP($A56,Seqs!$A:$B,2,FALSE),VLOOKUP($A56,'NonXtal_SegEnds_Prot#'!A:AL,10,FALSE)+8,1)</f>
        <v>M</v>
      </c>
      <c r="V56" s="90" t="str">
        <f>MID(VLOOKUP($A56,Seqs!$A:$B,2,FALSE),VLOOKUP($A56,'NonXtal_SegEnds_Prot#'!A:AL,10,FALSE)+9,1)</f>
        <v>P</v>
      </c>
      <c r="W56" s="64" t="str">
        <f>MID(VLOOKUP($A56,Seqs!$A:$B,2,FALSE),VLOOKUP($A56,'NonXtal_SegEnds_Prot#'!$A:$AL,22,FALSE)+6,1)</f>
        <v>L</v>
      </c>
      <c r="X56" s="90" t="str">
        <f>MID(VLOOKUP($A56,Seqs!$A:$B,2,FALSE),VLOOKUP($A56,'NonXtal_SegEnds_Prot#'!$A:$AL,22,FALSE)+7,1)</f>
        <v>M</v>
      </c>
      <c r="Y56" s="90" t="str">
        <f>MID(VLOOKUP($A56,Seqs!$A:$B,2,FALSE),VLOOKUP($A56,'NonXtal_SegEnds_Prot#'!$A:$AL,22,FALSE)+8,1)</f>
        <v>V</v>
      </c>
      <c r="Z56" s="90" t="str">
        <f>MID(VLOOKUP($A56,Seqs!$A:$B,2,FALSE),VLOOKUP($A56,'NonXtal_SegEnds_Prot#'!$A:$AL,22,FALSE)+9,1)</f>
        <v>P</v>
      </c>
      <c r="AA56" s="90" t="str">
        <f>MID(VLOOKUP($A56,Seqs!$A:$B,2,FALSE),VLOOKUP($A56,'NonXtal_SegEnds_Prot#'!$A:$AL,22,FALSE)+10,1)</f>
        <v>Y</v>
      </c>
      <c r="AB56" s="64" t="str">
        <f>MID(VLOOKUP($A56,Seqs!$A:$B,2,FALSE),VLOOKUP($A56,'NonXtal_SegEnds_Prot#'!$A:$AL,28,FALSE)-4,1)</f>
        <v>L</v>
      </c>
      <c r="AC56" s="90" t="str">
        <f>MID(VLOOKUP($A56,Seqs!$A:$B,2,FALSE),VLOOKUP($A56,'NonXtal_SegEnds_Prot#'!$A:$AL,28,FALSE),1)</f>
        <v>P</v>
      </c>
    </row>
    <row r="57" spans="1:29" s="2" customFormat="1" x14ac:dyDescent="0.2">
      <c r="A57" s="2" t="s">
        <v>422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64" t="str">
        <f>MID(VLOOKUP($A57,Seqs!$A:$B,2,FALSE),VLOOKUP($A57,'NonXtal_SegEnds_Prot#'!A:AL,10,FALSE),1)</f>
        <v>D</v>
      </c>
      <c r="S57" s="90" t="str">
        <f>MID(VLOOKUP($A57,Seqs!$A:$B,2,FALSE),VLOOKUP($A57,'NonXtal_SegEnds_Prot#'!A:AL,10,FALSE)+6,1)</f>
        <v>A</v>
      </c>
      <c r="T57" s="90" t="str">
        <f>MID(VLOOKUP($A57,Seqs!$A:$B,2,FALSE),VLOOKUP($A57,'NonXtal_SegEnds_Prot#'!A:AL,10,FALSE)+7,1)</f>
        <v>L</v>
      </c>
      <c r="U57" s="90" t="str">
        <f>MID(VLOOKUP($A57,Seqs!$A:$B,2,FALSE),VLOOKUP($A57,'NonXtal_SegEnds_Prot#'!A:AL,10,FALSE)+8,1)</f>
        <v>P</v>
      </c>
      <c r="V57" s="90" t="str">
        <f>MID(VLOOKUP($A57,Seqs!$A:$B,2,FALSE),VLOOKUP($A57,'NonXtal_SegEnds_Prot#'!A:AL,10,FALSE)+9,1)</f>
        <v>V</v>
      </c>
      <c r="W57" s="64" t="str">
        <f>MID(VLOOKUP($A57,Seqs!$A:$B,2,FALSE),VLOOKUP($A57,'NonXtal_SegEnds_Prot#'!$A:$AL,22,FALSE)+6,1)</f>
        <v>I</v>
      </c>
      <c r="X57" s="90" t="str">
        <f>MID(VLOOKUP($A57,Seqs!$A:$B,2,FALSE),VLOOKUP($A57,'NonXtal_SegEnds_Prot#'!$A:$AL,22,FALSE)+7,1)</f>
        <v>M</v>
      </c>
      <c r="Y57" s="90" t="str">
        <f>MID(VLOOKUP($A57,Seqs!$A:$B,2,FALSE),VLOOKUP($A57,'NonXtal_SegEnds_Prot#'!$A:$AL,22,FALSE)+8,1)</f>
        <v>V</v>
      </c>
      <c r="Z57" s="90" t="str">
        <f>MID(VLOOKUP($A57,Seqs!$A:$B,2,FALSE),VLOOKUP($A57,'NonXtal_SegEnds_Prot#'!$A:$AL,22,FALSE)+9,1)</f>
        <v>P</v>
      </c>
      <c r="AA57" s="90" t="str">
        <f>MID(VLOOKUP($A57,Seqs!$A:$B,2,FALSE),VLOOKUP($A57,'NonXtal_SegEnds_Prot#'!$A:$AL,22,FALSE)+10,1)</f>
        <v>N</v>
      </c>
      <c r="AB57" s="64" t="str">
        <f>MID(VLOOKUP($A57,Seqs!$A:$B,2,FALSE),VLOOKUP($A57,'NonXtal_SegEnds_Prot#'!$A:$AL,28,FALSE)-4,1)</f>
        <v>I</v>
      </c>
      <c r="AC57" s="90" t="str">
        <f>MID(VLOOKUP($A57,Seqs!$A:$B,2,FALSE),VLOOKUP($A57,'NonXtal_SegEnds_Prot#'!$A:$AL,28,FALSE),1)</f>
        <v>F</v>
      </c>
    </row>
    <row r="58" spans="1:29" s="2" customFormat="1" x14ac:dyDescent="0.2">
      <c r="A58" s="2" t="s">
        <v>433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64" t="str">
        <f>MID(VLOOKUP($A58,Seqs!$A:$B,2,FALSE),VLOOKUP($A58,'NonXtal_SegEnds_Prot#'!A:AL,10,FALSE),1)</f>
        <v>D</v>
      </c>
      <c r="S58" s="90" t="str">
        <f>MID(VLOOKUP($A58,Seqs!$A:$B,2,FALSE),VLOOKUP($A58,'NonXtal_SegEnds_Prot#'!A:AL,10,FALSE)+6,1)</f>
        <v>V</v>
      </c>
      <c r="T58" s="90" t="str">
        <f>MID(VLOOKUP($A58,Seqs!$A:$B,2,FALSE),VLOOKUP($A58,'NonXtal_SegEnds_Prot#'!A:AL,10,FALSE)+7,1)</f>
        <v>L</v>
      </c>
      <c r="U58" s="90" t="str">
        <f>MID(VLOOKUP($A58,Seqs!$A:$B,2,FALSE),VLOOKUP($A58,'NonXtal_SegEnds_Prot#'!A:AL,10,FALSE)+8,1)</f>
        <v>P</v>
      </c>
      <c r="V58" s="90" t="str">
        <f>MID(VLOOKUP($A58,Seqs!$A:$B,2,FALSE),VLOOKUP($A58,'NonXtal_SegEnds_Prot#'!A:AL,10,FALSE)+9,1)</f>
        <v>T</v>
      </c>
      <c r="W58" s="64" t="str">
        <f>MID(VLOOKUP($A58,Seqs!$A:$B,2,FALSE),VLOOKUP($A58,'NonXtal_SegEnds_Prot#'!$A:$AL,22,FALSE)+6,1)</f>
        <v>A</v>
      </c>
      <c r="X58" s="90" t="str">
        <f>MID(VLOOKUP($A58,Seqs!$A:$B,2,FALSE),VLOOKUP($A58,'NonXtal_SegEnds_Prot#'!$A:$AL,22,FALSE)+7,1)</f>
        <v>M</v>
      </c>
      <c r="Y58" s="90" t="str">
        <f>MID(VLOOKUP($A58,Seqs!$A:$B,2,FALSE),VLOOKUP($A58,'NonXtal_SegEnds_Prot#'!$A:$AL,22,FALSE)+8,1)</f>
        <v>A</v>
      </c>
      <c r="Z58" s="90" t="str">
        <f>MID(VLOOKUP($A58,Seqs!$A:$B,2,FALSE),VLOOKUP($A58,'NonXtal_SegEnds_Prot#'!$A:$AL,22,FALSE)+9,1)</f>
        <v>P</v>
      </c>
      <c r="AA58" s="90" t="str">
        <f>MID(VLOOKUP($A58,Seqs!$A:$B,2,FALSE),VLOOKUP($A58,'NonXtal_SegEnds_Prot#'!$A:$AL,22,FALSE)+10,1)</f>
        <v>L</v>
      </c>
      <c r="AB58" s="64" t="str">
        <f>MID(VLOOKUP($A58,Seqs!$A:$B,2,FALSE),VLOOKUP($A58,'NonXtal_SegEnds_Prot#'!$A:$AL,28,FALSE)-4,1)</f>
        <v>A</v>
      </c>
      <c r="AC58" s="90" t="str">
        <f>MID(VLOOKUP($A58,Seqs!$A:$B,2,FALSE),VLOOKUP($A58,'NonXtal_SegEnds_Prot#'!$A:$AL,28,FALSE),1)</f>
        <v>P</v>
      </c>
    </row>
    <row r="59" spans="1:29" s="2" customFormat="1" x14ac:dyDescent="0.2">
      <c r="A59" s="2" t="s">
        <v>515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64" t="str">
        <f>MID(VLOOKUP($A59,Seqs!$A:$B,2,FALSE),VLOOKUP($A59,'NonXtal_SegEnds_Prot#'!A:AL,10,FALSE),1)</f>
        <v>D</v>
      </c>
      <c r="S59" s="90" t="str">
        <f>MID(VLOOKUP($A59,Seqs!$A:$B,2,FALSE),VLOOKUP($A59,'NonXtal_SegEnds_Prot#'!A:AL,10,FALSE)+6,1)</f>
        <v>F</v>
      </c>
      <c r="T59" s="90" t="str">
        <f>MID(VLOOKUP($A59,Seqs!$A:$B,2,FALSE),VLOOKUP($A59,'NonXtal_SegEnds_Prot#'!A:AL,10,FALSE)+7,1)</f>
        <v>C</v>
      </c>
      <c r="U59" s="90" t="str">
        <f>MID(VLOOKUP($A59,Seqs!$A:$B,2,FALSE),VLOOKUP($A59,'NonXtal_SegEnds_Prot#'!A:AL,10,FALSE)+8,1)</f>
        <v>M</v>
      </c>
      <c r="V59" s="90" t="str">
        <f>MID(VLOOKUP($A59,Seqs!$A:$B,2,FALSE),VLOOKUP($A59,'NonXtal_SegEnds_Prot#'!A:AL,10,FALSE)+9,1)</f>
        <v>P</v>
      </c>
      <c r="W59" s="64" t="str">
        <f>MID(VLOOKUP($A59,Seqs!$A:$B,2,FALSE),VLOOKUP($A59,'NonXtal_SegEnds_Prot#'!$A:$AL,22,FALSE)+6,1)</f>
        <v>I</v>
      </c>
      <c r="X59" s="90" t="str">
        <f>MID(VLOOKUP($A59,Seqs!$A:$B,2,FALSE),VLOOKUP($A59,'NonXtal_SegEnds_Prot#'!$A:$AL,22,FALSE)+7,1)</f>
        <v>M</v>
      </c>
      <c r="Y59" s="90" t="str">
        <f>MID(VLOOKUP($A59,Seqs!$A:$B,2,FALSE),VLOOKUP($A59,'NonXtal_SegEnds_Prot#'!$A:$AL,22,FALSE)+8,1)</f>
        <v>C</v>
      </c>
      <c r="Z59" s="90" t="str">
        <f>MID(VLOOKUP($A59,Seqs!$A:$B,2,FALSE),VLOOKUP($A59,'NonXtal_SegEnds_Prot#'!$A:$AL,22,FALSE)+9,1)</f>
        <v>P</v>
      </c>
      <c r="AA59" s="90" t="str">
        <f>MID(VLOOKUP($A59,Seqs!$A:$B,2,FALSE),VLOOKUP($A59,'NonXtal_SegEnds_Prot#'!$A:$AL,22,FALSE)+10,1)</f>
        <v>S</v>
      </c>
      <c r="AB59" s="64" t="str">
        <f>MID(VLOOKUP($A59,Seqs!$A:$B,2,FALSE),VLOOKUP($A59,'NonXtal_SegEnds_Prot#'!$A:$AL,28,FALSE)-4,1)</f>
        <v>I</v>
      </c>
      <c r="AC59" s="90" t="str">
        <f>MID(VLOOKUP($A59,Seqs!$A:$B,2,FALSE),VLOOKUP($A59,'NonXtal_SegEnds_Prot#'!$A:$AL,28,FALSE),1)</f>
        <v>P</v>
      </c>
    </row>
    <row r="60" spans="1:29" s="2" customFormat="1" x14ac:dyDescent="0.2">
      <c r="A60" s="2" t="s">
        <v>516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64" t="str">
        <f>MID(VLOOKUP($A60,Seqs!$A:$B,2,FALSE),VLOOKUP($A60,'NonXtal_SegEnds_Prot#'!A:AL,10,FALSE),1)</f>
        <v>D</v>
      </c>
      <c r="S60" s="90" t="str">
        <f>MID(VLOOKUP($A60,Seqs!$A:$B,2,FALSE),VLOOKUP($A60,'NonXtal_SegEnds_Prot#'!A:AL,10,FALSE)+6,1)</f>
        <v>F</v>
      </c>
      <c r="T60" s="90" t="str">
        <f>MID(VLOOKUP($A60,Seqs!$A:$B,2,FALSE),VLOOKUP($A60,'NonXtal_SegEnds_Prot#'!A:AL,10,FALSE)+7,1)</f>
        <v>C</v>
      </c>
      <c r="U60" s="90" t="str">
        <f>MID(VLOOKUP($A60,Seqs!$A:$B,2,FALSE),VLOOKUP($A60,'NonXtal_SegEnds_Prot#'!A:AL,10,FALSE)+8,1)</f>
        <v>M</v>
      </c>
      <c r="V60" s="90" t="str">
        <f>MID(VLOOKUP($A60,Seqs!$A:$B,2,FALSE),VLOOKUP($A60,'NonXtal_SegEnds_Prot#'!A:AL,10,FALSE)+9,1)</f>
        <v>P</v>
      </c>
      <c r="W60" s="64" t="str">
        <f>MID(VLOOKUP($A60,Seqs!$A:$B,2,FALSE),VLOOKUP($A60,'NonXtal_SegEnds_Prot#'!$A:$AL,22,FALSE)+6,1)</f>
        <v>I</v>
      </c>
      <c r="X60" s="90" t="str">
        <f>MID(VLOOKUP($A60,Seqs!$A:$B,2,FALSE),VLOOKUP($A60,'NonXtal_SegEnds_Prot#'!$A:$AL,22,FALSE)+7,1)</f>
        <v>M</v>
      </c>
      <c r="Y60" s="90" t="str">
        <f>MID(VLOOKUP($A60,Seqs!$A:$B,2,FALSE),VLOOKUP($A60,'NonXtal_SegEnds_Prot#'!$A:$AL,22,FALSE)+8,1)</f>
        <v>S</v>
      </c>
      <c r="Z60" s="90" t="str">
        <f>MID(VLOOKUP($A60,Seqs!$A:$B,2,FALSE),VLOOKUP($A60,'NonXtal_SegEnds_Prot#'!$A:$AL,22,FALSE)+9,1)</f>
        <v>P</v>
      </c>
      <c r="AA60" s="90" t="str">
        <f>MID(VLOOKUP($A60,Seqs!$A:$B,2,FALSE),VLOOKUP($A60,'NonXtal_SegEnds_Prot#'!$A:$AL,22,FALSE)+10,1)</f>
        <v>S</v>
      </c>
      <c r="AB60" s="64" t="str">
        <f>MID(VLOOKUP($A60,Seqs!$A:$B,2,FALSE),VLOOKUP($A60,'NonXtal_SegEnds_Prot#'!$A:$AL,28,FALSE)-4,1)</f>
        <v>I</v>
      </c>
      <c r="AC60" s="90" t="str">
        <f>MID(VLOOKUP($A60,Seqs!$A:$B,2,FALSE),VLOOKUP($A60,'NonXtal_SegEnds_Prot#'!$A:$AL,28,FALSE),1)</f>
        <v>P</v>
      </c>
    </row>
    <row r="61" spans="1:29" s="2" customFormat="1" x14ac:dyDescent="0.2">
      <c r="A61" s="2" t="s">
        <v>1393</v>
      </c>
      <c r="B61" s="2" t="str">
        <f>LOWER(VLOOKUP(A61,Xtal_Templ!A:B,2,FALSE))</f>
        <v>ox1r_human</v>
      </c>
      <c r="C61" s="2" t="str">
        <f>VLOOKUP(A61,Classification!A:D,2,FALSE)</f>
        <v>A</v>
      </c>
      <c r="E61" s="2" t="s">
        <v>20</v>
      </c>
      <c r="K61" s="78" t="s">
        <v>59</v>
      </c>
      <c r="N61" s="2" t="s">
        <v>43</v>
      </c>
      <c r="P61" s="4" t="s">
        <v>51</v>
      </c>
      <c r="R61" s="64" t="str">
        <f>MID(VLOOKUP($A61,Seqs!$A:$B,2,FALSE),VLOOKUP($A61,'NonXtal_SegEnds_Prot#'!A:AL,10,FALSE),1)</f>
        <v>D</v>
      </c>
      <c r="S61" s="90" t="str">
        <f>MID(VLOOKUP($A61,Seqs!$A:$B,2,FALSE),VLOOKUP($A61,'NonXtal_SegEnds_Prot#'!A:AL,10,FALSE)+6,1)</f>
        <v>I</v>
      </c>
      <c r="T61" s="90" t="str">
        <f>MID(VLOOKUP($A61,Seqs!$A:$B,2,FALSE),VLOOKUP($A61,'NonXtal_SegEnds_Prot#'!A:AL,10,FALSE)+7,1)</f>
        <v>C</v>
      </c>
      <c r="U61" s="90" t="str">
        <f>MID(VLOOKUP($A61,Seqs!$A:$B,2,FALSE),VLOOKUP($A61,'NonXtal_SegEnds_Prot#'!A:AL,10,FALSE)+8,1)</f>
        <v>L</v>
      </c>
      <c r="V61" s="90" t="str">
        <f>MID(VLOOKUP($A61,Seqs!$A:$B,2,FALSE),VLOOKUP($A61,'NonXtal_SegEnds_Prot#'!A:AL,10,FALSE)+9,1)</f>
        <v>P</v>
      </c>
      <c r="W61" s="64" t="str">
        <f>MID(VLOOKUP($A61,Seqs!$A:$B,2,FALSE),VLOOKUP($A61,'NonXtal_SegEnds_Prot#'!$A:$AL,22,FALSE)+6,1)</f>
        <v>I</v>
      </c>
      <c r="X61" s="90" t="str">
        <f>MID(VLOOKUP($A61,Seqs!$A:$B,2,FALSE),VLOOKUP($A61,'NonXtal_SegEnds_Prot#'!$A:$AL,22,FALSE)+7,1)</f>
        <v>M</v>
      </c>
      <c r="Y61" s="90" t="str">
        <f>MID(VLOOKUP($A61,Seqs!$A:$B,2,FALSE),VLOOKUP($A61,'NonXtal_SegEnds_Prot#'!$A:$AL,22,FALSE)+8,1)</f>
        <v>V</v>
      </c>
      <c r="Z61" s="90" t="str">
        <f>MID(VLOOKUP($A61,Seqs!$A:$B,2,FALSE),VLOOKUP($A61,'NonXtal_SegEnds_Prot#'!$A:$AL,22,FALSE)+9,1)</f>
        <v>P</v>
      </c>
      <c r="AA61" s="90" t="str">
        <f>MID(VLOOKUP($A61,Seqs!$A:$B,2,FALSE),VLOOKUP($A61,'NonXtal_SegEnds_Prot#'!$A:$AL,22,FALSE)+10,1)</f>
        <v>Q</v>
      </c>
      <c r="AB61" s="64" t="str">
        <f>MID(VLOOKUP($A61,Seqs!$A:$B,2,FALSE),VLOOKUP($A61,'NonXtal_SegEnds_Prot#'!$A:$AL,28,FALSE)-4,1)</f>
        <v>T</v>
      </c>
      <c r="AC61" s="90" t="str">
        <f>MID(VLOOKUP($A61,Seqs!$A:$B,2,FALSE),VLOOKUP($A61,'NonXtal_SegEnds_Prot#'!$A:$AL,28,FALSE),1)</f>
        <v>P</v>
      </c>
    </row>
    <row r="62" spans="1:29" s="2" customFormat="1" x14ac:dyDescent="0.2">
      <c r="A62" s="2" t="s">
        <v>1394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78" t="s">
        <v>59</v>
      </c>
      <c r="N62" s="2" t="s">
        <v>43</v>
      </c>
      <c r="P62" s="4" t="s">
        <v>51</v>
      </c>
      <c r="R62" s="64" t="str">
        <f>MID(VLOOKUP($A62,Seqs!$A:$B,2,FALSE),VLOOKUP($A62,'NonXtal_SegEnds_Prot#'!A:AL,10,FALSE),1)</f>
        <v>D</v>
      </c>
      <c r="S62" s="90" t="str">
        <f>MID(VLOOKUP($A62,Seqs!$A:$B,2,FALSE),VLOOKUP($A62,'NonXtal_SegEnds_Prot#'!A:AL,10,FALSE)+6,1)</f>
        <v>T</v>
      </c>
      <c r="T62" s="90" t="str">
        <f>MID(VLOOKUP($A62,Seqs!$A:$B,2,FALSE),VLOOKUP($A62,'NonXtal_SegEnds_Prot#'!A:AL,10,FALSE)+7,1)</f>
        <v>C</v>
      </c>
      <c r="U62" s="90" t="str">
        <f>MID(VLOOKUP($A62,Seqs!$A:$B,2,FALSE),VLOOKUP($A62,'NonXtal_SegEnds_Prot#'!A:AL,10,FALSE)+8,1)</f>
        <v>L</v>
      </c>
      <c r="V62" s="90" t="str">
        <f>MID(VLOOKUP($A62,Seqs!$A:$B,2,FALSE),VLOOKUP($A62,'NonXtal_SegEnds_Prot#'!A:AL,10,FALSE)+9,1)</f>
        <v>P</v>
      </c>
      <c r="W62" s="64" t="str">
        <f>MID(VLOOKUP($A62,Seqs!$A:$B,2,FALSE),VLOOKUP($A62,'NonXtal_SegEnds_Prot#'!$A:$AL,22,FALSE)+6,1)</f>
        <v>I</v>
      </c>
      <c r="X62" s="90" t="str">
        <f>MID(VLOOKUP($A62,Seqs!$A:$B,2,FALSE),VLOOKUP($A62,'NonXtal_SegEnds_Prot#'!$A:$AL,22,FALSE)+7,1)</f>
        <v>M</v>
      </c>
      <c r="Y62" s="90" t="str">
        <f>MID(VLOOKUP($A62,Seqs!$A:$B,2,FALSE),VLOOKUP($A62,'NonXtal_SegEnds_Prot#'!$A:$AL,22,FALSE)+8,1)</f>
        <v>I</v>
      </c>
      <c r="Z62" s="90" t="str">
        <f>MID(VLOOKUP($A62,Seqs!$A:$B,2,FALSE),VLOOKUP($A62,'NonXtal_SegEnds_Prot#'!$A:$AL,22,FALSE)+9,1)</f>
        <v>P</v>
      </c>
      <c r="AA62" s="90" t="str">
        <f>MID(VLOOKUP($A62,Seqs!$A:$B,2,FALSE),VLOOKUP($A62,'NonXtal_SegEnds_Prot#'!$A:$AL,22,FALSE)+10,1)</f>
        <v>Q</v>
      </c>
      <c r="AB62" s="64" t="str">
        <f>MID(VLOOKUP($A62,Seqs!$A:$B,2,FALSE),VLOOKUP($A62,'NonXtal_SegEnds_Prot#'!$A:$AL,28,FALSE)-4,1)</f>
        <v>T</v>
      </c>
      <c r="AC62" s="90" t="str">
        <f>MID(VLOOKUP($A62,Seqs!$A:$B,2,FALSE),VLOOKUP($A62,'NonXtal_SegEnds_Prot#'!$A:$AL,28,FALSE),1)</f>
        <v>P</v>
      </c>
    </row>
    <row r="63" spans="1:29" s="2" customFormat="1" x14ac:dyDescent="0.2">
      <c r="A63" s="2" t="s">
        <v>550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1553</v>
      </c>
      <c r="P63" s="4" t="s">
        <v>51</v>
      </c>
      <c r="R63" s="64" t="str">
        <f>MID(VLOOKUP($A63,Seqs!$A:$B,2,FALSE),VLOOKUP($A63,'NonXtal_SegEnds_Prot#'!A:AL,10,FALSE),1)</f>
        <v>D</v>
      </c>
      <c r="S63" s="90" t="str">
        <f>MID(VLOOKUP($A63,Seqs!$A:$B,2,FALSE),VLOOKUP($A63,'NonXtal_SegEnds_Prot#'!A:AL,10,FALSE)+6,1)</f>
        <v>T</v>
      </c>
      <c r="T63" s="90" t="str">
        <f>MID(VLOOKUP($A63,Seqs!$A:$B,2,FALSE),VLOOKUP($A63,'NonXtal_SegEnds_Prot#'!A:AL,10,FALSE)+7,1)</f>
        <v>L</v>
      </c>
      <c r="U63" s="90" t="str">
        <f>MID(VLOOKUP($A63,Seqs!$A:$B,2,FALSE),VLOOKUP($A63,'NonXtal_SegEnds_Prot#'!A:AL,10,FALSE)+8,1)</f>
        <v>P</v>
      </c>
      <c r="V63" s="90" t="str">
        <f>MID(VLOOKUP($A63,Seqs!$A:$B,2,FALSE),VLOOKUP($A63,'NonXtal_SegEnds_Prot#'!A:AL,10,FALSE)+9,1)</f>
        <v>F</v>
      </c>
      <c r="W63" s="64" t="str">
        <f>MID(VLOOKUP($A63,Seqs!$A:$B,2,FALSE),VLOOKUP($A63,'NonXtal_SegEnds_Prot#'!$A:$AL,22,FALSE)+6,1)</f>
        <v>Y</v>
      </c>
      <c r="X63" s="90" t="str">
        <f>MID(VLOOKUP($A63,Seqs!$A:$B,2,FALSE),VLOOKUP($A63,'NonXtal_SegEnds_Prot#'!$A:$AL,22,FALSE)+7,1)</f>
        <v>M</v>
      </c>
      <c r="Y63" s="90" t="str">
        <f>MID(VLOOKUP($A63,Seqs!$A:$B,2,FALSE),VLOOKUP($A63,'NonXtal_SegEnds_Prot#'!$A:$AL,22,FALSE)+8,1)</f>
        <v>L</v>
      </c>
      <c r="Z63" s="90" t="str">
        <f>MID(VLOOKUP($A63,Seqs!$A:$B,2,FALSE),VLOOKUP($A63,'NonXtal_SegEnds_Prot#'!$A:$AL,22,FALSE)+9,1)</f>
        <v>P</v>
      </c>
      <c r="AA63" s="90" t="str">
        <f>MID(VLOOKUP($A63,Seqs!$A:$B,2,FALSE),VLOOKUP($A63,'NonXtal_SegEnds_Prot#'!$A:$AL,22,FALSE)+10,1)</f>
        <v>F</v>
      </c>
      <c r="AB63" s="64" t="str">
        <f>MID(VLOOKUP($A63,Seqs!$A:$B,2,FALSE),VLOOKUP($A63,'NonXtal_SegEnds_Prot#'!$A:$AL,28,FALSE)-4,1)</f>
        <v>G</v>
      </c>
      <c r="AC63" s="90" t="str">
        <f>MID(VLOOKUP($A63,Seqs!$A:$B,2,FALSE),VLOOKUP($A63,'NonXtal_SegEnds_Prot#'!$A:$AL,28,FALSE),1)</f>
        <v>P</v>
      </c>
    </row>
    <row r="64" spans="1:29" s="2" customFormat="1" x14ac:dyDescent="0.2">
      <c r="A64" s="2" t="s">
        <v>474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64" t="str">
        <f>MID(VLOOKUP($A64,Seqs!$A:$B,2,FALSE),VLOOKUP($A64,'NonXtal_SegEnds_Prot#'!A:AL,10,FALSE),1)</f>
        <v>D</v>
      </c>
      <c r="S64" s="90" t="str">
        <f>MID(VLOOKUP($A64,Seqs!$A:$B,2,FALSE),VLOOKUP($A64,'NonXtal_SegEnds_Prot#'!A:AL,10,FALSE)+6,1)</f>
        <v>I</v>
      </c>
      <c r="T64" s="90" t="str">
        <f>MID(VLOOKUP($A64,Seqs!$A:$B,2,FALSE),VLOOKUP($A64,'NonXtal_SegEnds_Prot#'!A:AL,10,FALSE)+7,1)</f>
        <v>S</v>
      </c>
      <c r="U64" s="90" t="str">
        <f>MID(VLOOKUP($A64,Seqs!$A:$B,2,FALSE),VLOOKUP($A64,'NonXtal_SegEnds_Prot#'!A:AL,10,FALSE)+8,1)</f>
        <v>I</v>
      </c>
      <c r="V64" s="90" t="str">
        <f>MID(VLOOKUP($A64,Seqs!$A:$B,2,FALSE),VLOOKUP($A64,'NonXtal_SegEnds_Prot#'!A:AL,10,FALSE)+9,1)</f>
        <v>P</v>
      </c>
      <c r="W64" s="64" t="str">
        <f>MID(VLOOKUP($A64,Seqs!$A:$B,2,FALSE),VLOOKUP($A64,'NonXtal_SegEnds_Prot#'!$A:$AL,22,FALSE)+6,1)</f>
        <v>V</v>
      </c>
      <c r="X64" s="90" t="str">
        <f>MID(VLOOKUP($A64,Seqs!$A:$B,2,FALSE),VLOOKUP($A64,'NonXtal_SegEnds_Prot#'!$A:$AL,22,FALSE)+7,1)</f>
        <v>N</v>
      </c>
      <c r="Y64" s="90" t="str">
        <f>MID(VLOOKUP($A64,Seqs!$A:$B,2,FALSE),VLOOKUP($A64,'NonXtal_SegEnds_Prot#'!$A:$AL,22,FALSE)+8,1)</f>
        <v>G</v>
      </c>
      <c r="Z64" s="90" t="str">
        <f>MID(VLOOKUP($A64,Seqs!$A:$B,2,FALSE),VLOOKUP($A64,'NonXtal_SegEnds_Prot#'!$A:$AL,22,FALSE)+9,1)</f>
        <v>P</v>
      </c>
      <c r="AA64" s="90" t="str">
        <f>MID(VLOOKUP($A64,Seqs!$A:$B,2,FALSE),VLOOKUP($A64,'NonXtal_SegEnds_Prot#'!$A:$AL,22,FALSE)+10,1)</f>
        <v>M</v>
      </c>
      <c r="AB64" s="64" t="str">
        <f>MID(VLOOKUP($A64,Seqs!$A:$B,2,FALSE),VLOOKUP($A64,'NonXtal_SegEnds_Prot#'!$A:$AL,28,FALSE)-4,1)</f>
        <v>E</v>
      </c>
      <c r="AC64" s="90" t="str">
        <f>MID(VLOOKUP($A64,Seqs!$A:$B,2,FALSE),VLOOKUP($A64,'NonXtal_SegEnds_Prot#'!$A:$AL,28,FALSE),1)</f>
        <v>P</v>
      </c>
    </row>
    <row r="65" spans="1:29" s="2" customFormat="1" x14ac:dyDescent="0.2">
      <c r="A65" s="2" t="s">
        <v>416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64" t="str">
        <f>MID(VLOOKUP($A65,Seqs!$A:$B,2,FALSE),VLOOKUP($A65,'NonXtal_SegEnds_Prot#'!A:AL,10,FALSE),1)</f>
        <v>D</v>
      </c>
      <c r="S65" s="90" t="str">
        <f>MID(VLOOKUP($A65,Seqs!$A:$B,2,FALSE),VLOOKUP($A65,'NonXtal_SegEnds_Prot#'!A:AL,10,FALSE)+6,1)</f>
        <v>F</v>
      </c>
      <c r="T65" s="90" t="str">
        <f>MID(VLOOKUP($A65,Seqs!$A:$B,2,FALSE),VLOOKUP($A65,'NonXtal_SegEnds_Prot#'!A:AL,10,FALSE)+7,1)</f>
        <v>S</v>
      </c>
      <c r="U65" s="90" t="str">
        <f>MID(VLOOKUP($A65,Seqs!$A:$B,2,FALSE),VLOOKUP($A65,'NonXtal_SegEnds_Prot#'!A:AL,10,FALSE)+8,1)</f>
        <v>A</v>
      </c>
      <c r="V65" s="90" t="str">
        <f>MID(VLOOKUP($A65,Seqs!$A:$B,2,FALSE),VLOOKUP($A65,'NonXtal_SegEnds_Prot#'!A:AL,10,FALSE)+9,1)</f>
        <v>P</v>
      </c>
      <c r="W65" s="64" t="str">
        <f>MID(VLOOKUP($A65,Seqs!$A:$B,2,FALSE),VLOOKUP($A65,'NonXtal_SegEnds_Prot#'!$A:$AL,22,FALSE)+6,1)</f>
        <v>L</v>
      </c>
      <c r="X65" s="90" t="str">
        <f>MID(VLOOKUP($A65,Seqs!$A:$B,2,FALSE),VLOOKUP($A65,'NonXtal_SegEnds_Prot#'!$A:$AL,22,FALSE)+7,1)</f>
        <v>P</v>
      </c>
      <c r="Y65" s="90" t="str">
        <f>MID(VLOOKUP($A65,Seqs!$A:$B,2,FALSE),VLOOKUP($A65,'NonXtal_SegEnds_Prot#'!$A:$AL,22,FALSE)+8,1)</f>
        <v>L</v>
      </c>
      <c r="Z65" s="90" t="str">
        <f>MID(VLOOKUP($A65,Seqs!$A:$B,2,FALSE),VLOOKUP($A65,'NonXtal_SegEnds_Prot#'!$A:$AL,22,FALSE)+9,1)</f>
        <v>P</v>
      </c>
      <c r="AA65" s="90" t="str">
        <f>MID(VLOOKUP($A65,Seqs!$A:$B,2,FALSE),VLOOKUP($A65,'NonXtal_SegEnds_Prot#'!$A:$AL,22,FALSE)+10,1)</f>
        <v>E</v>
      </c>
      <c r="AB65" s="64" t="str">
        <f>MID(VLOOKUP($A65,Seqs!$A:$B,2,FALSE),VLOOKUP($A65,'NonXtal_SegEnds_Prot#'!$A:$AL,28,FALSE)-4,1)</f>
        <v>A</v>
      </c>
      <c r="AC65" s="90" t="str">
        <f>MID(VLOOKUP($A65,Seqs!$A:$B,2,FALSE),VLOOKUP($A65,'NonXtal_SegEnds_Prot#'!$A:$AL,28,FALSE),1)</f>
        <v>P</v>
      </c>
    </row>
    <row r="66" spans="1:29" s="2" customFormat="1" x14ac:dyDescent="0.2">
      <c r="A66" s="2" t="s">
        <v>426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64" t="str">
        <f>MID(VLOOKUP($A66,Seqs!$A:$B,2,FALSE),VLOOKUP($A66,'NonXtal_SegEnds_Prot#'!A:AL,10,FALSE),1)</f>
        <v>D</v>
      </c>
      <c r="S66" s="90" t="str">
        <f>MID(VLOOKUP($A66,Seqs!$A:$B,2,FALSE),VLOOKUP($A66,'NonXtal_SegEnds_Prot#'!A:AL,10,FALSE)+6,1)</f>
        <v>S</v>
      </c>
      <c r="T66" s="90" t="str">
        <f>MID(VLOOKUP($A66,Seqs!$A:$B,2,FALSE),VLOOKUP($A66,'NonXtal_SegEnds_Prot#'!A:AL,10,FALSE)+7,1)</f>
        <v>L</v>
      </c>
      <c r="U66" s="90" t="str">
        <f>MID(VLOOKUP($A66,Seqs!$A:$B,2,FALSE),VLOOKUP($A66,'NonXtal_SegEnds_Prot#'!A:AL,10,FALSE)+8,1)</f>
        <v>P</v>
      </c>
      <c r="V66" s="90" t="str">
        <f>MID(VLOOKUP($A66,Seqs!$A:$B,2,FALSE),VLOOKUP($A66,'NonXtal_SegEnds_Prot#'!A:AL,10,FALSE)+9,1)</f>
        <v>V</v>
      </c>
      <c r="W66" s="64" t="str">
        <f>MID(VLOOKUP($A66,Seqs!$A:$B,2,FALSE),VLOOKUP($A66,'NonXtal_SegEnds_Prot#'!$A:$AL,22,FALSE)+6,1)</f>
        <v>I</v>
      </c>
      <c r="X66" s="90" t="str">
        <f>MID(VLOOKUP($A66,Seqs!$A:$B,2,FALSE),VLOOKUP($A66,'NonXtal_SegEnds_Prot#'!$A:$AL,22,FALSE)+7,1)</f>
        <v>P</v>
      </c>
      <c r="Y66" s="90" t="str">
        <f>MID(VLOOKUP($A66,Seqs!$A:$B,2,FALSE),VLOOKUP($A66,'NonXtal_SegEnds_Prot#'!$A:$AL,22,FALSE)+8,1)</f>
        <v>L</v>
      </c>
      <c r="Z66" s="90" t="str">
        <f>MID(VLOOKUP($A66,Seqs!$A:$B,2,FALSE),VLOOKUP($A66,'NonXtal_SegEnds_Prot#'!$A:$AL,22,FALSE)+9,1)</f>
        <v>P</v>
      </c>
      <c r="AA66" s="90" t="str">
        <f>MID(VLOOKUP($A66,Seqs!$A:$B,2,FALSE),VLOOKUP($A66,'NonXtal_SegEnds_Prot#'!$A:$AL,22,FALSE)+10,1)</f>
        <v>E</v>
      </c>
      <c r="AB66" s="64" t="str">
        <f>MID(VLOOKUP($A66,Seqs!$A:$B,2,FALSE),VLOOKUP($A66,'NonXtal_SegEnds_Prot#'!$A:$AL,28,FALSE)-4,1)</f>
        <v>G</v>
      </c>
      <c r="AC66" s="90" t="str">
        <f>MID(VLOOKUP($A66,Seqs!$A:$B,2,FALSE),VLOOKUP($A66,'NonXtal_SegEnds_Prot#'!$A:$AL,28,FALSE),1)</f>
        <v>P</v>
      </c>
    </row>
    <row r="67" spans="1:29" s="2" customFormat="1" ht="17" customHeight="1" x14ac:dyDescent="0.25">
      <c r="A67" s="2" t="s">
        <v>325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64" t="str">
        <f>MID(VLOOKUP($A67,Seqs!$A:$B,2,FALSE),VLOOKUP($A67,'NonXtal_SegEnds_Prot#'!A:AL,10,FALSE),1)</f>
        <v>D</v>
      </c>
      <c r="S67" s="90" t="str">
        <f>MID(VLOOKUP($A67,Seqs!$A:$B,2,FALSE),VLOOKUP($A67,'NonXtal_SegEnds_Prot#'!A:AL,10,FALSE)+6,1)</f>
        <v>L</v>
      </c>
      <c r="T67" s="90" t="str">
        <f>MID(VLOOKUP($A67,Seqs!$A:$B,2,FALSE),VLOOKUP($A67,'NonXtal_SegEnds_Prot#'!A:AL,10,FALSE)+7,1)</f>
        <v>V</v>
      </c>
      <c r="U67" s="90" t="str">
        <f>MID(VLOOKUP($A67,Seqs!$A:$B,2,FALSE),VLOOKUP($A67,'NonXtal_SegEnds_Prot#'!A:AL,10,FALSE)+8,1)</f>
        <v>M</v>
      </c>
      <c r="V67" s="90" t="str">
        <f>MID(VLOOKUP($A67,Seqs!$A:$B,2,FALSE),VLOOKUP($A67,'NonXtal_SegEnds_Prot#'!A:AL,10,FALSE)+9,1)</f>
        <v>P</v>
      </c>
      <c r="W67" s="64" t="str">
        <f>MID(VLOOKUP($A67,Seqs!$A:$B,2,FALSE),VLOOKUP($A67,'NonXtal_SegEnds_Prot#'!$A:$AL,22,FALSE)+6,1)</f>
        <v>I</v>
      </c>
      <c r="X67" s="90" t="str">
        <f>MID(VLOOKUP($A67,Seqs!$A:$B,2,FALSE),VLOOKUP($A67,'NonXtal_SegEnds_Prot#'!$A:$AL,22,FALSE)+7,1)</f>
        <v>S</v>
      </c>
      <c r="Y67" s="90" t="str">
        <f>MID(VLOOKUP($A67,Seqs!$A:$B,2,FALSE),VLOOKUP($A67,'NonXtal_SegEnds_Prot#'!$A:$AL,22,FALSE)+8,1)</f>
        <v>M</v>
      </c>
      <c r="Z67" s="90" t="str">
        <f>MID(VLOOKUP($A67,Seqs!$A:$B,2,FALSE),VLOOKUP($A67,'NonXtal_SegEnds_Prot#'!$A:$AL,22,FALSE)+9,1)</f>
        <v>P</v>
      </c>
      <c r="AA67" s="90" t="str">
        <f>MID(VLOOKUP($A67,Seqs!$A:$B,2,FALSE),VLOOKUP($A67,'NonXtal_SegEnds_Prot#'!$A:$AL,22,FALSE)+10,1)</f>
        <v>I</v>
      </c>
      <c r="AB67" s="64" t="str">
        <f>MID(VLOOKUP($A67,Seqs!$A:$B,2,FALSE),VLOOKUP($A67,'NonXtal_SegEnds_Prot#'!$A:$AL,28,FALSE)-4,1)</f>
        <v>S</v>
      </c>
      <c r="AC67" s="90" t="str">
        <f>MID(VLOOKUP($A67,Seqs!$A:$B,2,FALSE),VLOOKUP($A67,'NonXtal_SegEnds_Prot#'!$A:$AL,28,FALSE),1)</f>
        <v>P</v>
      </c>
    </row>
    <row r="68" spans="1:29" s="2" customFormat="1" x14ac:dyDescent="0.2">
      <c r="A68" s="2" t="s">
        <v>326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64" t="str">
        <f>MID(VLOOKUP($A68,Seqs!$A:$B,2,FALSE),VLOOKUP($A68,'NonXtal_SegEnds_Prot#'!A:AL,10,FALSE),1)</f>
        <v>D</v>
      </c>
      <c r="S68" s="90" t="str">
        <f>MID(VLOOKUP($A68,Seqs!$A:$B,2,FALSE),VLOOKUP($A68,'NonXtal_SegEnds_Prot#'!A:AL,10,FALSE)+6,1)</f>
        <v>L</v>
      </c>
      <c r="T68" s="90" t="str">
        <f>MID(VLOOKUP($A68,Seqs!$A:$B,2,FALSE),VLOOKUP($A68,'NonXtal_SegEnds_Prot#'!A:AL,10,FALSE)+7,1)</f>
        <v>V</v>
      </c>
      <c r="U68" s="90" t="str">
        <f>MID(VLOOKUP($A68,Seqs!$A:$B,2,FALSE),VLOOKUP($A68,'NonXtal_SegEnds_Prot#'!A:AL,10,FALSE)+8,1)</f>
        <v>M</v>
      </c>
      <c r="V68" s="90" t="str">
        <f>MID(VLOOKUP($A68,Seqs!$A:$B,2,FALSE),VLOOKUP($A68,'NonXtal_SegEnds_Prot#'!A:AL,10,FALSE)+9,1)</f>
        <v>P</v>
      </c>
      <c r="W68" s="64" t="str">
        <f>MID(VLOOKUP($A68,Seqs!$A:$B,2,FALSE),VLOOKUP($A68,'NonXtal_SegEnds_Prot#'!$A:$AL,22,FALSE)+6,1)</f>
        <v>V</v>
      </c>
      <c r="X68" s="90" t="str">
        <f>MID(VLOOKUP($A68,Seqs!$A:$B,2,FALSE),VLOOKUP($A68,'NonXtal_SegEnds_Prot#'!$A:$AL,22,FALSE)+7,1)</f>
        <v>S</v>
      </c>
      <c r="Y68" s="90" t="str">
        <f>MID(VLOOKUP($A68,Seqs!$A:$B,2,FALSE),VLOOKUP($A68,'NonXtal_SegEnds_Prot#'!$A:$AL,22,FALSE)+8,1)</f>
        <v>V</v>
      </c>
      <c r="Z68" s="90" t="str">
        <f>MID(VLOOKUP($A68,Seqs!$A:$B,2,FALSE),VLOOKUP($A68,'NonXtal_SegEnds_Prot#'!$A:$AL,22,FALSE)+9,1)</f>
        <v>P</v>
      </c>
      <c r="AA68" s="90" t="str">
        <f>MID(VLOOKUP($A68,Seqs!$A:$B,2,FALSE),VLOOKUP($A68,'NonXtal_SegEnds_Prot#'!$A:$AL,22,FALSE)+10,1)</f>
        <v>I</v>
      </c>
      <c r="AB68" s="64" t="str">
        <f>MID(VLOOKUP($A68,Seqs!$A:$B,2,FALSE),VLOOKUP($A68,'NonXtal_SegEnds_Prot#'!$A:$AL,28,FALSE)-4,1)</f>
        <v>A</v>
      </c>
      <c r="AC68" s="90" t="str">
        <f>MID(VLOOKUP($A68,Seqs!$A:$B,2,FALSE),VLOOKUP($A68,'NonXtal_SegEnds_Prot#'!$A:$AL,28,FALSE),1)</f>
        <v>P</v>
      </c>
    </row>
    <row r="69" spans="1:29" s="2" customFormat="1" x14ac:dyDescent="0.2">
      <c r="A69" s="2" t="s">
        <v>336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64" t="str">
        <f>MID(VLOOKUP($A69,Seqs!$A:$B,2,FALSE),VLOOKUP($A69,'NonXtal_SegEnds_Prot#'!A:AL,10,FALSE),1)</f>
        <v>N</v>
      </c>
      <c r="S69" s="90" t="str">
        <f>MID(VLOOKUP($A69,Seqs!$A:$B,2,FALSE),VLOOKUP($A69,'NonXtal_SegEnds_Prot#'!A:AL,10,FALSE)+6,1)</f>
        <v>T</v>
      </c>
      <c r="T69" s="90" t="str">
        <f>MID(VLOOKUP($A69,Seqs!$A:$B,2,FALSE),VLOOKUP($A69,'NonXtal_SegEnds_Prot#'!A:AL,10,FALSE)+7,1)</f>
        <v>L</v>
      </c>
      <c r="U69" s="90" t="str">
        <f>MID(VLOOKUP($A69,Seqs!$A:$B,2,FALSE),VLOOKUP($A69,'NonXtal_SegEnds_Prot#'!A:AL,10,FALSE)+8,1)</f>
        <v>P</v>
      </c>
      <c r="V69" s="90" t="str">
        <f>MID(VLOOKUP($A69,Seqs!$A:$B,2,FALSE),VLOOKUP($A69,'NonXtal_SegEnds_Prot#'!A:AL,10,FALSE)+9,1)</f>
        <v>F</v>
      </c>
      <c r="W69" s="64" t="str">
        <f>MID(VLOOKUP($A69,Seqs!$A:$B,2,FALSE),VLOOKUP($A69,'NonXtal_SegEnds_Prot#'!$A:$AL,22,FALSE)+6,1)</f>
        <v>V</v>
      </c>
      <c r="X69" s="90" t="str">
        <f>MID(VLOOKUP($A69,Seqs!$A:$B,2,FALSE),VLOOKUP($A69,'NonXtal_SegEnds_Prot#'!$A:$AL,22,FALSE)+7,1)</f>
        <v>S</v>
      </c>
      <c r="Y69" s="90" t="str">
        <f>MID(VLOOKUP($A69,Seqs!$A:$B,2,FALSE),VLOOKUP($A69,'NonXtal_SegEnds_Prot#'!$A:$AL,22,FALSE)+8,1)</f>
        <v>I</v>
      </c>
      <c r="Z69" s="90" t="str">
        <f>MID(VLOOKUP($A69,Seqs!$A:$B,2,FALSE),VLOOKUP($A69,'NonXtal_SegEnds_Prot#'!$A:$AL,22,FALSE)+9,1)</f>
        <v>P</v>
      </c>
      <c r="AA69" s="90" t="str">
        <f>MID(VLOOKUP($A69,Seqs!$A:$B,2,FALSE),VLOOKUP($A69,'NonXtal_SegEnds_Prot#'!$A:$AL,22,FALSE)+10,1)</f>
        <v>D</v>
      </c>
      <c r="AB69" s="64" t="str">
        <f>MID(VLOOKUP($A69,Seqs!$A:$B,2,FALSE),VLOOKUP($A69,'NonXtal_SegEnds_Prot#'!$A:$AL,28,FALSE)-4,1)</f>
        <v>G</v>
      </c>
      <c r="AC69" s="90" t="str">
        <f>MID(VLOOKUP($A69,Seqs!$A:$B,2,FALSE),VLOOKUP($A69,'NonXtal_SegEnds_Prot#'!$A:$AL,28,FALSE),1)</f>
        <v>P</v>
      </c>
    </row>
    <row r="70" spans="1:29" s="2" customFormat="1" x14ac:dyDescent="0.2">
      <c r="A70" s="2" t="s">
        <v>337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64" t="str">
        <f>MID(VLOOKUP($A70,Seqs!$A:$B,2,FALSE),VLOOKUP($A70,'NonXtal_SegEnds_Prot#'!A:AL,10,FALSE),1)</f>
        <v>D</v>
      </c>
      <c r="S70" s="90" t="str">
        <f>MID(VLOOKUP($A70,Seqs!$A:$B,2,FALSE),VLOOKUP($A70,'NonXtal_SegEnds_Prot#'!A:AL,10,FALSE)+6,1)</f>
        <v>T</v>
      </c>
      <c r="T70" s="90" t="str">
        <f>MID(VLOOKUP($A70,Seqs!$A:$B,2,FALSE),VLOOKUP($A70,'NonXtal_SegEnds_Prot#'!A:AL,10,FALSE)+7,1)</f>
        <v>I</v>
      </c>
      <c r="U70" s="90" t="str">
        <f>MID(VLOOKUP($A70,Seqs!$A:$B,2,FALSE),VLOOKUP($A70,'NonXtal_SegEnds_Prot#'!A:AL,10,FALSE)+8,1)</f>
        <v>P</v>
      </c>
      <c r="V70" s="90" t="str">
        <f>MID(VLOOKUP($A70,Seqs!$A:$B,2,FALSE),VLOOKUP($A70,'NonXtal_SegEnds_Prot#'!A:AL,10,FALSE)+9,1)</f>
        <v>V</v>
      </c>
      <c r="W70" s="64" t="str">
        <f>MID(VLOOKUP($A70,Seqs!$A:$B,2,FALSE),VLOOKUP($A70,'NonXtal_SegEnds_Prot#'!$A:$AL,22,FALSE)+6,1)</f>
        <v>V</v>
      </c>
      <c r="X70" s="90" t="str">
        <f>MID(VLOOKUP($A70,Seqs!$A:$B,2,FALSE),VLOOKUP($A70,'NonXtal_SegEnds_Prot#'!$A:$AL,22,FALSE)+7,1)</f>
        <v>S</v>
      </c>
      <c r="Y70" s="90" t="str">
        <f>MID(VLOOKUP($A70,Seqs!$A:$B,2,FALSE),VLOOKUP($A70,'NonXtal_SegEnds_Prot#'!$A:$AL,22,FALSE)+8,1)</f>
        <v>L</v>
      </c>
      <c r="Z70" s="90" t="str">
        <f>MID(VLOOKUP($A70,Seqs!$A:$B,2,FALSE),VLOOKUP($A70,'NonXtal_SegEnds_Prot#'!$A:$AL,22,FALSE)+9,1)</f>
        <v>P</v>
      </c>
      <c r="AA70" s="90" t="str">
        <f>MID(VLOOKUP($A70,Seqs!$A:$B,2,FALSE),VLOOKUP($A70,'NonXtal_SegEnds_Prot#'!$A:$AL,22,FALSE)+10,1)</f>
        <v>D</v>
      </c>
      <c r="AB70" s="64" t="str">
        <f>MID(VLOOKUP($A70,Seqs!$A:$B,2,FALSE),VLOOKUP($A70,'NonXtal_SegEnds_Prot#'!$A:$AL,28,FALSE)-4,1)</f>
        <v>G</v>
      </c>
      <c r="AC70" s="90" t="str">
        <f>MID(VLOOKUP($A70,Seqs!$A:$B,2,FALSE),VLOOKUP($A70,'NonXtal_SegEnds_Prot#'!$A:$AL,28,FALSE),1)</f>
        <v>P</v>
      </c>
    </row>
    <row r="71" spans="1:29" s="2" customFormat="1" x14ac:dyDescent="0.2">
      <c r="A71" s="2" t="s">
        <v>338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64" t="str">
        <f>MID(VLOOKUP($A71,Seqs!$A:$B,2,FALSE),VLOOKUP($A71,'NonXtal_SegEnds_Prot#'!A:AL,10,FALSE),1)</f>
        <v>D</v>
      </c>
      <c r="S71" s="90" t="str">
        <f>MID(VLOOKUP($A71,Seqs!$A:$B,2,FALSE),VLOOKUP($A71,'NonXtal_SegEnds_Prot#'!A:AL,10,FALSE)+6,1)</f>
        <v>T</v>
      </c>
      <c r="T71" s="90" t="str">
        <f>MID(VLOOKUP($A71,Seqs!$A:$B,2,FALSE),VLOOKUP($A71,'NonXtal_SegEnds_Prot#'!A:AL,10,FALSE)+7,1)</f>
        <v>L</v>
      </c>
      <c r="U71" s="90" t="str">
        <f>MID(VLOOKUP($A71,Seqs!$A:$B,2,FALSE),VLOOKUP($A71,'NonXtal_SegEnds_Prot#'!A:AL,10,FALSE)+8,1)</f>
        <v>P</v>
      </c>
      <c r="V71" s="90" t="str">
        <f>MID(VLOOKUP($A71,Seqs!$A:$B,2,FALSE),VLOOKUP($A71,'NonXtal_SegEnds_Prot#'!A:AL,10,FALSE)+9,1)</f>
        <v>F</v>
      </c>
      <c r="W71" s="64" t="str">
        <f>MID(VLOOKUP($A71,Seqs!$A:$B,2,FALSE),VLOOKUP($A71,'NonXtal_SegEnds_Prot#'!$A:$AL,22,FALSE)+6,1)</f>
        <v>L</v>
      </c>
      <c r="X71" s="90" t="str">
        <f>MID(VLOOKUP($A71,Seqs!$A:$B,2,FALSE),VLOOKUP($A71,'NonXtal_SegEnds_Prot#'!$A:$AL,22,FALSE)+7,1)</f>
        <v>S</v>
      </c>
      <c r="Y71" s="90" t="str">
        <f>MID(VLOOKUP($A71,Seqs!$A:$B,2,FALSE),VLOOKUP($A71,'NonXtal_SegEnds_Prot#'!$A:$AL,22,FALSE)+8,1)</f>
        <v>I</v>
      </c>
      <c r="Z71" s="90" t="str">
        <f>MID(VLOOKUP($A71,Seqs!$A:$B,2,FALSE),VLOOKUP($A71,'NonXtal_SegEnds_Prot#'!$A:$AL,22,FALSE)+9,1)</f>
        <v>P</v>
      </c>
      <c r="AA71" s="90" t="str">
        <f>MID(VLOOKUP($A71,Seqs!$A:$B,2,FALSE),VLOOKUP($A71,'NonXtal_SegEnds_Prot#'!$A:$AL,22,FALSE)+10,1)</f>
        <v>Q</v>
      </c>
      <c r="AB71" s="64" t="str">
        <f>MID(VLOOKUP($A71,Seqs!$A:$B,2,FALSE),VLOOKUP($A71,'NonXtal_SegEnds_Prot#'!$A:$AL,28,FALSE)-4,1)</f>
        <v>G</v>
      </c>
      <c r="AC71" s="90" t="str">
        <f>MID(VLOOKUP($A71,Seqs!$A:$B,2,FALSE),VLOOKUP($A71,'NonXtal_SegEnds_Prot#'!$A:$AL,28,FALSE),1)</f>
        <v>P</v>
      </c>
    </row>
    <row r="72" spans="1:29" s="2" customFormat="1" x14ac:dyDescent="0.2">
      <c r="A72" s="2" t="s">
        <v>351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64" t="str">
        <f>MID(VLOOKUP($A72,Seqs!$A:$B,2,FALSE),VLOOKUP($A72,'NonXtal_SegEnds_Prot#'!A:AL,10,FALSE),1)</f>
        <v>D</v>
      </c>
      <c r="S72" s="90" t="str">
        <f>MID(VLOOKUP($A72,Seqs!$A:$B,2,FALSE),VLOOKUP($A72,'NonXtal_SegEnds_Prot#'!A:AL,10,FALSE)+6,1)</f>
        <v>T</v>
      </c>
      <c r="T72" s="90" t="str">
        <f>MID(VLOOKUP($A72,Seqs!$A:$B,2,FALSE),VLOOKUP($A72,'NonXtal_SegEnds_Prot#'!A:AL,10,FALSE)+7,1)</f>
        <v>L</v>
      </c>
      <c r="U72" s="90" t="str">
        <f>MID(VLOOKUP($A72,Seqs!$A:$B,2,FALSE),VLOOKUP($A72,'NonXtal_SegEnds_Prot#'!A:AL,10,FALSE)+8,1)</f>
        <v>P</v>
      </c>
      <c r="V72" s="90" t="str">
        <f>MID(VLOOKUP($A72,Seqs!$A:$B,2,FALSE),VLOOKUP($A72,'NonXtal_SegEnds_Prot#'!A:AL,10,FALSE)+9,1)</f>
        <v>L</v>
      </c>
      <c r="W72" s="64" t="str">
        <f>MID(VLOOKUP($A72,Seqs!$A:$B,2,FALSE),VLOOKUP($A72,'NonXtal_SegEnds_Prot#'!$A:$AL,22,FALSE)+6,1)</f>
        <v>A</v>
      </c>
      <c r="X72" s="90" t="str">
        <f>MID(VLOOKUP($A72,Seqs!$A:$B,2,FALSE),VLOOKUP($A72,'NonXtal_SegEnds_Prot#'!$A:$AL,22,FALSE)+7,1)</f>
        <v>S</v>
      </c>
      <c r="Y72" s="90" t="str">
        <f>MID(VLOOKUP($A72,Seqs!$A:$B,2,FALSE),VLOOKUP($A72,'NonXtal_SegEnds_Prot#'!$A:$AL,22,FALSE)+8,1)</f>
        <v>L</v>
      </c>
      <c r="Z72" s="90" t="str">
        <f>MID(VLOOKUP($A72,Seqs!$A:$B,2,FALSE),VLOOKUP($A72,'NonXtal_SegEnds_Prot#'!$A:$AL,22,FALSE)+9,1)</f>
        <v>P</v>
      </c>
      <c r="AA72" s="90" t="str">
        <f>MID(VLOOKUP($A72,Seqs!$A:$B,2,FALSE),VLOOKUP($A72,'NonXtal_SegEnds_Prot#'!$A:$AL,22,FALSE)+10,1)</f>
        <v>A</v>
      </c>
      <c r="AB72" s="64" t="str">
        <f>MID(VLOOKUP($A72,Seqs!$A:$B,2,FALSE),VLOOKUP($A72,'NonXtal_SegEnds_Prot#'!$A:$AL,28,FALSE)-4,1)</f>
        <v>G</v>
      </c>
      <c r="AC72" s="90" t="str">
        <f>MID(VLOOKUP($A72,Seqs!$A:$B,2,FALSE),VLOOKUP($A72,'NonXtal_SegEnds_Prot#'!$A:$AL,28,FALSE),1)</f>
        <v>P</v>
      </c>
    </row>
    <row r="73" spans="1:29" s="2" customFormat="1" x14ac:dyDescent="0.2">
      <c r="A73" s="2" t="s">
        <v>352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64" t="str">
        <f>MID(VLOOKUP($A73,Seqs!$A:$B,2,FALSE),VLOOKUP($A73,'NonXtal_SegEnds_Prot#'!A:AL,10,FALSE),1)</f>
        <v>D</v>
      </c>
      <c r="S73" s="90" t="str">
        <f>MID(VLOOKUP($A73,Seqs!$A:$B,2,FALSE),VLOOKUP($A73,'NonXtal_SegEnds_Prot#'!A:AL,10,FALSE)+6,1)</f>
        <v>T</v>
      </c>
      <c r="T73" s="90" t="str">
        <f>MID(VLOOKUP($A73,Seqs!$A:$B,2,FALSE),VLOOKUP($A73,'NonXtal_SegEnds_Prot#'!A:AL,10,FALSE)+7,1)</f>
        <v>L</v>
      </c>
      <c r="U73" s="90" t="str">
        <f>MID(VLOOKUP($A73,Seqs!$A:$B,2,FALSE),VLOOKUP($A73,'NonXtal_SegEnds_Prot#'!A:AL,10,FALSE)+8,1)</f>
        <v>P</v>
      </c>
      <c r="V73" s="90" t="str">
        <f>MID(VLOOKUP($A73,Seqs!$A:$B,2,FALSE),VLOOKUP($A73,'NonXtal_SegEnds_Prot#'!A:AL,10,FALSE)+9,1)</f>
        <v>L</v>
      </c>
      <c r="W73" s="64" t="str">
        <f>MID(VLOOKUP($A73,Seqs!$A:$B,2,FALSE),VLOOKUP($A73,'NonXtal_SegEnds_Prot#'!$A:$AL,22,FALSE)+6,1)</f>
        <v>S</v>
      </c>
      <c r="X73" s="90" t="str">
        <f>MID(VLOOKUP($A73,Seqs!$A:$B,2,FALSE),VLOOKUP($A73,'NonXtal_SegEnds_Prot#'!$A:$AL,22,FALSE)+7,1)</f>
        <v>S</v>
      </c>
      <c r="Y73" s="90" t="str">
        <f>MID(VLOOKUP($A73,Seqs!$A:$B,2,FALSE),VLOOKUP($A73,'NonXtal_SegEnds_Prot#'!$A:$AL,22,FALSE)+8,1)</f>
        <v>L</v>
      </c>
      <c r="Z73" s="90" t="str">
        <f>MID(VLOOKUP($A73,Seqs!$A:$B,2,FALSE),VLOOKUP($A73,'NonXtal_SegEnds_Prot#'!$A:$AL,22,FALSE)+9,1)</f>
        <v>P</v>
      </c>
      <c r="AA73" s="90" t="str">
        <f>MID(VLOOKUP($A73,Seqs!$A:$B,2,FALSE),VLOOKUP($A73,'NonXtal_SegEnds_Prot#'!$A:$AL,22,FALSE)+10,1)</f>
        <v>T</v>
      </c>
      <c r="AB73" s="64" t="str">
        <f>MID(VLOOKUP($A73,Seqs!$A:$B,2,FALSE),VLOOKUP($A73,'NonXtal_SegEnds_Prot#'!$A:$AL,28,FALSE)-4,1)</f>
        <v>G</v>
      </c>
      <c r="AC73" s="90" t="str">
        <f>MID(VLOOKUP($A73,Seqs!$A:$B,2,FALSE),VLOOKUP($A73,'NonXtal_SegEnds_Prot#'!$A:$AL,28,FALSE),1)</f>
        <v>P</v>
      </c>
    </row>
    <row r="74" spans="1:29" s="2" customFormat="1" x14ac:dyDescent="0.2">
      <c r="A74" s="2" t="s">
        <v>354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64" t="str">
        <f>MID(VLOOKUP($A74,Seqs!$A:$B,2,FALSE),VLOOKUP($A74,'NonXtal_SegEnds_Prot#'!A:AL,10,FALSE),1)</f>
        <v>D</v>
      </c>
      <c r="S74" s="90" t="str">
        <f>MID(VLOOKUP($A74,Seqs!$A:$B,2,FALSE),VLOOKUP($A74,'NonXtal_SegEnds_Prot#'!A:AL,10,FALSE)+6,1)</f>
        <v>G</v>
      </c>
      <c r="T74" s="90" t="str">
        <f>MID(VLOOKUP($A74,Seqs!$A:$B,2,FALSE),VLOOKUP($A74,'NonXtal_SegEnds_Prot#'!A:AL,10,FALSE)+7,1)</f>
        <v>L</v>
      </c>
      <c r="U74" s="90" t="str">
        <f>MID(VLOOKUP($A74,Seqs!$A:$B,2,FALSE),VLOOKUP($A74,'NonXtal_SegEnds_Prot#'!A:AL,10,FALSE)+8,1)</f>
        <v>P</v>
      </c>
      <c r="V74" s="90" t="str">
        <f>MID(VLOOKUP($A74,Seqs!$A:$B,2,FALSE),VLOOKUP($A74,'NonXtal_SegEnds_Prot#'!A:AL,10,FALSE)+9,1)</f>
        <v>F</v>
      </c>
      <c r="W74" s="64" t="str">
        <f>MID(VLOOKUP($A74,Seqs!$A:$B,2,FALSE),VLOOKUP($A74,'NonXtal_SegEnds_Prot#'!$A:$AL,22,FALSE)+6,1)</f>
        <v>L</v>
      </c>
      <c r="X74" s="90" t="str">
        <f>MID(VLOOKUP($A74,Seqs!$A:$B,2,FALSE),VLOOKUP($A74,'NonXtal_SegEnds_Prot#'!$A:$AL,22,FALSE)+7,1)</f>
        <v>S</v>
      </c>
      <c r="Y74" s="90" t="str">
        <f>MID(VLOOKUP($A74,Seqs!$A:$B,2,FALSE),VLOOKUP($A74,'NonXtal_SegEnds_Prot#'!$A:$AL,22,FALSE)+8,1)</f>
        <v>I</v>
      </c>
      <c r="Z74" s="90" t="str">
        <f>MID(VLOOKUP($A74,Seqs!$A:$B,2,FALSE),VLOOKUP($A74,'NonXtal_SegEnds_Prot#'!$A:$AL,22,FALSE)+9,1)</f>
        <v>P</v>
      </c>
      <c r="AA74" s="90" t="str">
        <f>MID(VLOOKUP($A74,Seqs!$A:$B,2,FALSE),VLOOKUP($A74,'NonXtal_SegEnds_Prot#'!$A:$AL,22,FALSE)+10,1)</f>
        <v>T</v>
      </c>
      <c r="AB74" s="64" t="str">
        <f>MID(VLOOKUP($A74,Seqs!$A:$B,2,FALSE),VLOOKUP($A74,'NonXtal_SegEnds_Prot#'!$A:$AL,28,FALSE)-4,1)</f>
        <v>G</v>
      </c>
      <c r="AC74" s="90" t="str">
        <f>MID(VLOOKUP($A74,Seqs!$A:$B,2,FALSE),VLOOKUP($A74,'NonXtal_SegEnds_Prot#'!$A:$AL,28,FALSE),1)</f>
        <v>P</v>
      </c>
    </row>
    <row r="75" spans="1:29" s="2" customFormat="1" x14ac:dyDescent="0.2">
      <c r="A75" s="2" t="s">
        <v>355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64" t="str">
        <f>MID(VLOOKUP($A75,Seqs!$A:$B,2,FALSE),VLOOKUP($A75,'NonXtal_SegEnds_Prot#'!A:AL,10,FALSE),1)</f>
        <v>D</v>
      </c>
      <c r="S75" s="90" t="str">
        <f>MID(VLOOKUP($A75,Seqs!$A:$B,2,FALSE),VLOOKUP($A75,'NonXtal_SegEnds_Prot#'!A:AL,10,FALSE)+6,1)</f>
        <v>G</v>
      </c>
      <c r="T75" s="90" t="str">
        <f>MID(VLOOKUP($A75,Seqs!$A:$B,2,FALSE),VLOOKUP($A75,'NonXtal_SegEnds_Prot#'!A:AL,10,FALSE)+7,1)</f>
        <v>L</v>
      </c>
      <c r="U75" s="90" t="str">
        <f>MID(VLOOKUP($A75,Seqs!$A:$B,2,FALSE),VLOOKUP($A75,'NonXtal_SegEnds_Prot#'!A:AL,10,FALSE)+8,1)</f>
        <v>P</v>
      </c>
      <c r="V75" s="90" t="str">
        <f>MID(VLOOKUP($A75,Seqs!$A:$B,2,FALSE),VLOOKUP($A75,'NonXtal_SegEnds_Prot#'!A:AL,10,FALSE)+9,1)</f>
        <v>F</v>
      </c>
      <c r="W75" s="64" t="str">
        <f>MID(VLOOKUP($A75,Seqs!$A:$B,2,FALSE),VLOOKUP($A75,'NonXtal_SegEnds_Prot#'!$A:$AL,22,FALSE)+6,1)</f>
        <v>L</v>
      </c>
      <c r="X75" s="90" t="str">
        <f>MID(VLOOKUP($A75,Seqs!$A:$B,2,FALSE),VLOOKUP($A75,'NonXtal_SegEnds_Prot#'!$A:$AL,22,FALSE)+7,1)</f>
        <v>S</v>
      </c>
      <c r="Y75" s="90" t="str">
        <f>MID(VLOOKUP($A75,Seqs!$A:$B,2,FALSE),VLOOKUP($A75,'NonXtal_SegEnds_Prot#'!$A:$AL,22,FALSE)+8,1)</f>
        <v>S</v>
      </c>
      <c r="Z75" s="90" t="str">
        <f>MID(VLOOKUP($A75,Seqs!$A:$B,2,FALSE),VLOOKUP($A75,'NonXtal_SegEnds_Prot#'!$A:$AL,22,FALSE)+9,1)</f>
        <v>P</v>
      </c>
      <c r="AA75" s="90" t="str">
        <f>MID(VLOOKUP($A75,Seqs!$A:$B,2,FALSE),VLOOKUP($A75,'NonXtal_SegEnds_Prot#'!$A:$AL,22,FALSE)+10,1)</f>
        <v>M</v>
      </c>
      <c r="AB75" s="64" t="str">
        <f>MID(VLOOKUP($A75,Seqs!$A:$B,2,FALSE),VLOOKUP($A75,'NonXtal_SegEnds_Prot#'!$A:$AL,28,FALSE)-4,1)</f>
        <v>G</v>
      </c>
      <c r="AC75" s="90" t="str">
        <f>MID(VLOOKUP($A75,Seqs!$A:$B,2,FALSE),VLOOKUP($A75,'NonXtal_SegEnds_Prot#'!$A:$AL,28,FALSE),1)</f>
        <v>P</v>
      </c>
    </row>
    <row r="76" spans="1:29" s="2" customFormat="1" x14ac:dyDescent="0.2">
      <c r="A76" s="2" t="s">
        <v>361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64" t="str">
        <f>MID(VLOOKUP($A76,Seqs!$A:$B,2,FALSE),VLOOKUP($A76,'NonXtal_SegEnds_Prot#'!A:AL,10,FALSE),1)</f>
        <v>D</v>
      </c>
      <c r="S76" s="90" t="str">
        <f>MID(VLOOKUP($A76,Seqs!$A:$B,2,FALSE),VLOOKUP($A76,'NonXtal_SegEnds_Prot#'!A:AL,10,FALSE)+6,1)</f>
        <v>T</v>
      </c>
      <c r="T76" s="90" t="str">
        <f>MID(VLOOKUP($A76,Seqs!$A:$B,2,FALSE),VLOOKUP($A76,'NonXtal_SegEnds_Prot#'!A:AL,10,FALSE)+7,1)</f>
        <v>L</v>
      </c>
      <c r="U76" s="90" t="str">
        <f>MID(VLOOKUP($A76,Seqs!$A:$B,2,FALSE),VLOOKUP($A76,'NonXtal_SegEnds_Prot#'!A:AL,10,FALSE)+8,1)</f>
        <v>P</v>
      </c>
      <c r="V76" s="90" t="str">
        <f>MID(VLOOKUP($A76,Seqs!$A:$B,2,FALSE),VLOOKUP($A76,'NonXtal_SegEnds_Prot#'!A:AL,10,FALSE)+9,1)</f>
        <v>F</v>
      </c>
      <c r="W76" s="64" t="str">
        <f>MID(VLOOKUP($A76,Seqs!$A:$B,2,FALSE),VLOOKUP($A76,'NonXtal_SegEnds_Prot#'!$A:$AL,22,FALSE)+6,1)</f>
        <v>A</v>
      </c>
      <c r="X76" s="90" t="str">
        <f>MID(VLOOKUP($A76,Seqs!$A:$B,2,FALSE),VLOOKUP($A76,'NonXtal_SegEnds_Prot#'!$A:$AL,22,FALSE)+7,1)</f>
        <v>S</v>
      </c>
      <c r="Y76" s="90" t="str">
        <f>MID(VLOOKUP($A76,Seqs!$A:$B,2,FALSE),VLOOKUP($A76,'NonXtal_SegEnds_Prot#'!$A:$AL,22,FALSE)+8,1)</f>
        <v>M</v>
      </c>
      <c r="Z76" s="90" t="str">
        <f>MID(VLOOKUP($A76,Seqs!$A:$B,2,FALSE),VLOOKUP($A76,'NonXtal_SegEnds_Prot#'!$A:$AL,22,FALSE)+9,1)</f>
        <v>P</v>
      </c>
      <c r="AA76" s="90" t="str">
        <f>MID(VLOOKUP($A76,Seqs!$A:$B,2,FALSE),VLOOKUP($A76,'NonXtal_SegEnds_Prot#'!$A:$AL,22,FALSE)+10,1)</f>
        <v>G</v>
      </c>
      <c r="AB76" s="64" t="str">
        <f>MID(VLOOKUP($A76,Seqs!$A:$B,2,FALSE),VLOOKUP($A76,'NonXtal_SegEnds_Prot#'!$A:$AL,28,FALSE)-4,1)</f>
        <v>G</v>
      </c>
      <c r="AC76" s="90" t="str">
        <f>MID(VLOOKUP($A76,Seqs!$A:$B,2,FALSE),VLOOKUP($A76,'NonXtal_SegEnds_Prot#'!$A:$AL,28,FALSE),1)</f>
        <v>P</v>
      </c>
    </row>
    <row r="77" spans="1:29" s="2" customFormat="1" x14ac:dyDescent="0.2">
      <c r="A77" s="2" t="s">
        <v>363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64" t="str">
        <f>MID(VLOOKUP($A77,Seqs!$A:$B,2,FALSE),VLOOKUP($A77,'NonXtal_SegEnds_Prot#'!A:AL,10,FALSE),1)</f>
        <v>D</v>
      </c>
      <c r="S77" s="90" t="str">
        <f>MID(VLOOKUP($A77,Seqs!$A:$B,2,FALSE),VLOOKUP($A77,'NonXtal_SegEnds_Prot#'!A:AL,10,FALSE)+6,1)</f>
        <v>T</v>
      </c>
      <c r="T77" s="90" t="str">
        <f>MID(VLOOKUP($A77,Seqs!$A:$B,2,FALSE),VLOOKUP($A77,'NonXtal_SegEnds_Prot#'!A:AL,10,FALSE)+7,1)</f>
        <v>L</v>
      </c>
      <c r="U77" s="90" t="str">
        <f>MID(VLOOKUP($A77,Seqs!$A:$B,2,FALSE),VLOOKUP($A77,'NonXtal_SegEnds_Prot#'!A:AL,10,FALSE)+8,1)</f>
        <v>P</v>
      </c>
      <c r="V77" s="90" t="str">
        <f>MID(VLOOKUP($A77,Seqs!$A:$B,2,FALSE),VLOOKUP($A77,'NonXtal_SegEnds_Prot#'!A:AL,10,FALSE)+9,1)</f>
        <v>L</v>
      </c>
      <c r="W77" s="64" t="str">
        <f>MID(VLOOKUP($A77,Seqs!$A:$B,2,FALSE),VLOOKUP($A77,'NonXtal_SegEnds_Prot#'!$A:$AL,22,FALSE)+6,1)</f>
        <v>A</v>
      </c>
      <c r="X77" s="90" t="str">
        <f>MID(VLOOKUP($A77,Seqs!$A:$B,2,FALSE),VLOOKUP($A77,'NonXtal_SegEnds_Prot#'!$A:$AL,22,FALSE)+7,1)</f>
        <v>S</v>
      </c>
      <c r="Y77" s="90" t="str">
        <f>MID(VLOOKUP($A77,Seqs!$A:$B,2,FALSE),VLOOKUP($A77,'NonXtal_SegEnds_Prot#'!$A:$AL,22,FALSE)+8,1)</f>
        <v>V</v>
      </c>
      <c r="Z77" s="90" t="str">
        <f>MID(VLOOKUP($A77,Seqs!$A:$B,2,FALSE),VLOOKUP($A77,'NonXtal_SegEnds_Prot#'!$A:$AL,22,FALSE)+9,1)</f>
        <v>P</v>
      </c>
      <c r="AA77" s="90" t="str">
        <f>MID(VLOOKUP($A77,Seqs!$A:$B,2,FALSE),VLOOKUP($A77,'NonXtal_SegEnds_Prot#'!$A:$AL,22,FALSE)+10,1)</f>
        <v>G</v>
      </c>
      <c r="AB77" s="64" t="str">
        <f>MID(VLOOKUP($A77,Seqs!$A:$B,2,FALSE),VLOOKUP($A77,'NonXtal_SegEnds_Prot#'!$A:$AL,28,FALSE)-4,1)</f>
        <v>G</v>
      </c>
      <c r="AC77" s="90" t="str">
        <f>MID(VLOOKUP($A77,Seqs!$A:$B,2,FALSE),VLOOKUP($A77,'NonXtal_SegEnds_Prot#'!$A:$AL,28,FALSE),1)</f>
        <v>P</v>
      </c>
    </row>
    <row r="78" spans="1:29" s="2" customFormat="1" x14ac:dyDescent="0.2">
      <c r="A78" s="2" t="s">
        <v>365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64" t="str">
        <f>MID(VLOOKUP($A78,Seqs!$A:$B,2,FALSE),VLOOKUP($A78,'NonXtal_SegEnds_Prot#'!A:AL,10,FALSE),1)</f>
        <v>D</v>
      </c>
      <c r="S78" s="90" t="str">
        <f>MID(VLOOKUP($A78,Seqs!$A:$B,2,FALSE),VLOOKUP($A78,'NonXtal_SegEnds_Prot#'!A:AL,10,FALSE)+6,1)</f>
        <v>S</v>
      </c>
      <c r="T78" s="90" t="str">
        <f>MID(VLOOKUP($A78,Seqs!$A:$B,2,FALSE),VLOOKUP($A78,'NonXtal_SegEnds_Prot#'!A:AL,10,FALSE)+7,1)</f>
        <v>L</v>
      </c>
      <c r="U78" s="90" t="str">
        <f>MID(VLOOKUP($A78,Seqs!$A:$B,2,FALSE),VLOOKUP($A78,'NonXtal_SegEnds_Prot#'!A:AL,10,FALSE)+8,1)</f>
        <v>P</v>
      </c>
      <c r="V78" s="90" t="str">
        <f>MID(VLOOKUP($A78,Seqs!$A:$B,2,FALSE),VLOOKUP($A78,'NonXtal_SegEnds_Prot#'!A:AL,10,FALSE)+9,1)</f>
        <v>F</v>
      </c>
      <c r="W78" s="64" t="str">
        <f>MID(VLOOKUP($A78,Seqs!$A:$B,2,FALSE),VLOOKUP($A78,'NonXtal_SegEnds_Prot#'!$A:$AL,22,FALSE)+6,1)</f>
        <v>A</v>
      </c>
      <c r="X78" s="90" t="str">
        <f>MID(VLOOKUP($A78,Seqs!$A:$B,2,FALSE),VLOOKUP($A78,'NonXtal_SegEnds_Prot#'!$A:$AL,22,FALSE)+7,1)</f>
        <v>S</v>
      </c>
      <c r="Y78" s="90" t="str">
        <f>MID(VLOOKUP($A78,Seqs!$A:$B,2,FALSE),VLOOKUP($A78,'NonXtal_SegEnds_Prot#'!$A:$AL,22,FALSE)+8,1)</f>
        <v>L</v>
      </c>
      <c r="Z78" s="90" t="str">
        <f>MID(VLOOKUP($A78,Seqs!$A:$B,2,FALSE),VLOOKUP($A78,'NonXtal_SegEnds_Prot#'!$A:$AL,22,FALSE)+9,1)</f>
        <v>P</v>
      </c>
      <c r="AA78" s="90" t="str">
        <f>MID(VLOOKUP($A78,Seqs!$A:$B,2,FALSE),VLOOKUP($A78,'NonXtal_SegEnds_Prot#'!$A:$AL,22,FALSE)+10,1)</f>
        <v>G</v>
      </c>
      <c r="AB78" s="64" t="str">
        <f>MID(VLOOKUP($A78,Seqs!$A:$B,2,FALSE),VLOOKUP($A78,'NonXtal_SegEnds_Prot#'!$A:$AL,28,FALSE)-4,1)</f>
        <v>G</v>
      </c>
      <c r="AC78" s="90" t="str">
        <f>MID(VLOOKUP($A78,Seqs!$A:$B,2,FALSE),VLOOKUP($A78,'NonXtal_SegEnds_Prot#'!$A:$AL,28,FALSE),1)</f>
        <v>P</v>
      </c>
    </row>
    <row r="79" spans="1:29" s="2" customFormat="1" x14ac:dyDescent="0.2">
      <c r="A79" s="2" t="s">
        <v>366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64" t="str">
        <f>MID(VLOOKUP($A79,Seqs!$A:$B,2,FALSE),VLOOKUP($A79,'NonXtal_SegEnds_Prot#'!A:AL,10,FALSE),1)</f>
        <v>D</v>
      </c>
      <c r="S79" s="90" t="str">
        <f>MID(VLOOKUP($A79,Seqs!$A:$B,2,FALSE),VLOOKUP($A79,'NonXtal_SegEnds_Prot#'!A:AL,10,FALSE)+6,1)</f>
        <v>T</v>
      </c>
      <c r="T79" s="90" t="str">
        <f>MID(VLOOKUP($A79,Seqs!$A:$B,2,FALSE),VLOOKUP($A79,'NonXtal_SegEnds_Prot#'!A:AL,10,FALSE)+7,1)</f>
        <v>V</v>
      </c>
      <c r="U79" s="90" t="str">
        <f>MID(VLOOKUP($A79,Seqs!$A:$B,2,FALSE),VLOOKUP($A79,'NonXtal_SegEnds_Prot#'!A:AL,10,FALSE)+8,1)</f>
        <v>P</v>
      </c>
      <c r="V79" s="90" t="str">
        <f>MID(VLOOKUP($A79,Seqs!$A:$B,2,FALSE),VLOOKUP($A79,'NonXtal_SegEnds_Prot#'!A:AL,10,FALSE)+9,1)</f>
        <v>F</v>
      </c>
      <c r="W79" s="64" t="str">
        <f>MID(VLOOKUP($A79,Seqs!$A:$B,2,FALSE),VLOOKUP($A79,'NonXtal_SegEnds_Prot#'!$A:$AL,22,FALSE)+6,1)</f>
        <v>A</v>
      </c>
      <c r="X79" s="90" t="str">
        <f>MID(VLOOKUP($A79,Seqs!$A:$B,2,FALSE),VLOOKUP($A79,'NonXtal_SegEnds_Prot#'!$A:$AL,22,FALSE)+7,1)</f>
        <v>S</v>
      </c>
      <c r="Y79" s="90" t="str">
        <f>MID(VLOOKUP($A79,Seqs!$A:$B,2,FALSE),VLOOKUP($A79,'NonXtal_SegEnds_Prot#'!$A:$AL,22,FALSE)+8,1)</f>
        <v>L</v>
      </c>
      <c r="Z79" s="90" t="str">
        <f>MID(VLOOKUP($A79,Seqs!$A:$B,2,FALSE),VLOOKUP($A79,'NonXtal_SegEnds_Prot#'!$A:$AL,22,FALSE)+9,1)</f>
        <v>P</v>
      </c>
      <c r="AA79" s="90" t="str">
        <f>MID(VLOOKUP($A79,Seqs!$A:$B,2,FALSE),VLOOKUP($A79,'NonXtal_SegEnds_Prot#'!$A:$AL,22,FALSE)+10,1)</f>
        <v>G</v>
      </c>
      <c r="AB79" s="64" t="str">
        <f>MID(VLOOKUP($A79,Seqs!$A:$B,2,FALSE),VLOOKUP($A79,'NonXtal_SegEnds_Prot#'!$A:$AL,28,FALSE)-4,1)</f>
        <v>G</v>
      </c>
      <c r="AC79" s="90" t="str">
        <f>MID(VLOOKUP($A79,Seqs!$A:$B,2,FALSE),VLOOKUP($A79,'NonXtal_SegEnds_Prot#'!$A:$AL,28,FALSE),1)</f>
        <v>P</v>
      </c>
    </row>
    <row r="80" spans="1:29" s="2" customFormat="1" x14ac:dyDescent="0.2">
      <c r="A80" s="2" t="s">
        <v>368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64" t="str">
        <f>MID(VLOOKUP($A80,Seqs!$A:$B,2,FALSE),VLOOKUP($A80,'NonXtal_SegEnds_Prot#'!A:AL,10,FALSE),1)</f>
        <v>D</v>
      </c>
      <c r="S80" s="90" t="str">
        <f>MID(VLOOKUP($A80,Seqs!$A:$B,2,FALSE),VLOOKUP($A80,'NonXtal_SegEnds_Prot#'!A:AL,10,FALSE)+6,1)</f>
        <v>T</v>
      </c>
      <c r="T80" s="90" t="str">
        <f>MID(VLOOKUP($A80,Seqs!$A:$B,2,FALSE),VLOOKUP($A80,'NonXtal_SegEnds_Prot#'!A:AL,10,FALSE)+7,1)</f>
        <v>L</v>
      </c>
      <c r="U80" s="90" t="str">
        <f>MID(VLOOKUP($A80,Seqs!$A:$B,2,FALSE),VLOOKUP($A80,'NonXtal_SegEnds_Prot#'!A:AL,10,FALSE)+8,1)</f>
        <v>P</v>
      </c>
      <c r="V80" s="90" t="str">
        <f>MID(VLOOKUP($A80,Seqs!$A:$B,2,FALSE),VLOOKUP($A80,'NonXtal_SegEnds_Prot#'!A:AL,10,FALSE)+9,1)</f>
        <v>F</v>
      </c>
      <c r="W80" s="64" t="str">
        <f>MID(VLOOKUP($A80,Seqs!$A:$B,2,FALSE),VLOOKUP($A80,'NonXtal_SegEnds_Prot#'!$A:$AL,22,FALSE)+6,1)</f>
        <v>L</v>
      </c>
      <c r="X80" s="90" t="str">
        <f>MID(VLOOKUP($A80,Seqs!$A:$B,2,FALSE),VLOOKUP($A80,'NonXtal_SegEnds_Prot#'!$A:$AL,22,FALSE)+7,1)</f>
        <v>S</v>
      </c>
      <c r="Y80" s="90" t="str">
        <f>MID(VLOOKUP($A80,Seqs!$A:$B,2,FALSE),VLOOKUP($A80,'NonXtal_SegEnds_Prot#'!$A:$AL,22,FALSE)+8,1)</f>
        <v>I</v>
      </c>
      <c r="Z80" s="90" t="str">
        <f>MID(VLOOKUP($A80,Seqs!$A:$B,2,FALSE),VLOOKUP($A80,'NonXtal_SegEnds_Prot#'!$A:$AL,22,FALSE)+9,1)</f>
        <v>P</v>
      </c>
      <c r="AA80" s="90" t="str">
        <f>MID(VLOOKUP($A80,Seqs!$A:$B,2,FALSE),VLOOKUP($A80,'NonXtal_SegEnds_Prot#'!$A:$AL,22,FALSE)+10,1)</f>
        <v>E</v>
      </c>
      <c r="AB80" s="64" t="str">
        <f>MID(VLOOKUP($A80,Seqs!$A:$B,2,FALSE),VLOOKUP($A80,'NonXtal_SegEnds_Prot#'!$A:$AL,28,FALSE)-4,1)</f>
        <v>G</v>
      </c>
      <c r="AC80" s="90" t="str">
        <f>MID(VLOOKUP($A80,Seqs!$A:$B,2,FALSE),VLOOKUP($A80,'NonXtal_SegEnds_Prot#'!$A:$AL,28,FALSE),1)</f>
        <v>P</v>
      </c>
    </row>
    <row r="81" spans="1:29" s="2" customFormat="1" x14ac:dyDescent="0.2">
      <c r="A81" s="2" t="s">
        <v>372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64" t="str">
        <f>MID(VLOOKUP($A81,Seqs!$A:$B,2,FALSE),VLOOKUP($A81,'NonXtal_SegEnds_Prot#'!A:AL,10,FALSE),1)</f>
        <v>D</v>
      </c>
      <c r="S81" s="90" t="str">
        <f>MID(VLOOKUP($A81,Seqs!$A:$B,2,FALSE),VLOOKUP($A81,'NonXtal_SegEnds_Prot#'!A:AL,10,FALSE)+6,1)</f>
        <v>T</v>
      </c>
      <c r="T81" s="90" t="str">
        <f>MID(VLOOKUP($A81,Seqs!$A:$B,2,FALSE),VLOOKUP($A81,'NonXtal_SegEnds_Prot#'!A:AL,10,FALSE)+7,1)</f>
        <v>L</v>
      </c>
      <c r="U81" s="90" t="str">
        <f>MID(VLOOKUP($A81,Seqs!$A:$B,2,FALSE),VLOOKUP($A81,'NonXtal_SegEnds_Prot#'!A:AL,10,FALSE)+8,1)</f>
        <v>P</v>
      </c>
      <c r="V81" s="90" t="str">
        <f>MID(VLOOKUP($A81,Seqs!$A:$B,2,FALSE),VLOOKUP($A81,'NonXtal_SegEnds_Prot#'!A:AL,10,FALSE)+9,1)</f>
        <v>L</v>
      </c>
      <c r="W81" s="64" t="str">
        <f>MID(VLOOKUP($A81,Seqs!$A:$B,2,FALSE),VLOOKUP($A81,'NonXtal_SegEnds_Prot#'!$A:$AL,22,FALSE)+6,1)</f>
        <v>T</v>
      </c>
      <c r="X81" s="90" t="str">
        <f>MID(VLOOKUP($A81,Seqs!$A:$B,2,FALSE),VLOOKUP($A81,'NonXtal_SegEnds_Prot#'!$A:$AL,22,FALSE)+7,1)</f>
        <v>S</v>
      </c>
      <c r="Y81" s="90" t="str">
        <f>MID(VLOOKUP($A81,Seqs!$A:$B,2,FALSE),VLOOKUP($A81,'NonXtal_SegEnds_Prot#'!$A:$AL,22,FALSE)+8,1)</f>
        <v>S</v>
      </c>
      <c r="Z81" s="90" t="str">
        <f>MID(VLOOKUP($A81,Seqs!$A:$B,2,FALSE),VLOOKUP($A81,'NonXtal_SegEnds_Prot#'!$A:$AL,22,FALSE)+9,1)</f>
        <v>P</v>
      </c>
      <c r="AA81" s="90" t="str">
        <f>MID(VLOOKUP($A81,Seqs!$A:$B,2,FALSE),VLOOKUP($A81,'NonXtal_SegEnds_Prot#'!$A:$AL,22,FALSE)+10,1)</f>
        <v>F</v>
      </c>
      <c r="AB81" s="64" t="str">
        <f>MID(VLOOKUP($A81,Seqs!$A:$B,2,FALSE),VLOOKUP($A81,'NonXtal_SegEnds_Prot#'!$A:$AL,28,FALSE)-4,1)</f>
        <v>G</v>
      </c>
      <c r="AC81" s="90" t="str">
        <f>MID(VLOOKUP($A81,Seqs!$A:$B,2,FALSE),VLOOKUP($A81,'NonXtal_SegEnds_Prot#'!$A:$AL,28,FALSE),1)</f>
        <v>P</v>
      </c>
    </row>
    <row r="82" spans="1:29" s="2" customFormat="1" x14ac:dyDescent="0.2">
      <c r="A82" s="2" t="s">
        <v>374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64" t="str">
        <f>MID(VLOOKUP($A82,Seqs!$A:$B,2,FALSE),VLOOKUP($A82,'NonXtal_SegEnds_Prot#'!A:AL,10,FALSE),1)</f>
        <v>D</v>
      </c>
      <c r="S82" s="90" t="str">
        <f>MID(VLOOKUP($A82,Seqs!$A:$B,2,FALSE),VLOOKUP($A82,'NonXtal_SegEnds_Prot#'!A:AL,10,FALSE)+6,1)</f>
        <v>F</v>
      </c>
      <c r="T82" s="90" t="str">
        <f>MID(VLOOKUP($A82,Seqs!$A:$B,2,FALSE),VLOOKUP($A82,'NonXtal_SegEnds_Prot#'!A:AL,10,FALSE)+7,1)</f>
        <v>L</v>
      </c>
      <c r="U82" s="90" t="str">
        <f>MID(VLOOKUP($A82,Seqs!$A:$B,2,FALSE),VLOOKUP($A82,'NonXtal_SegEnds_Prot#'!A:AL,10,FALSE)+8,1)</f>
        <v>P</v>
      </c>
      <c r="V82" s="90" t="str">
        <f>MID(VLOOKUP($A82,Seqs!$A:$B,2,FALSE),VLOOKUP($A82,'NonXtal_SegEnds_Prot#'!A:AL,10,FALSE)+9,1)</f>
        <v>I</v>
      </c>
      <c r="W82" s="64" t="str">
        <f>MID(VLOOKUP($A82,Seqs!$A:$B,2,FALSE),VLOOKUP($A82,'NonXtal_SegEnds_Prot#'!$A:$AL,22,FALSE)+6,1)</f>
        <v>L</v>
      </c>
      <c r="X82" s="90" t="str">
        <f>MID(VLOOKUP($A82,Seqs!$A:$B,2,FALSE),VLOOKUP($A82,'NonXtal_SegEnds_Prot#'!$A:$AL,22,FALSE)+7,1)</f>
        <v>S</v>
      </c>
      <c r="Y82" s="90" t="str">
        <f>MID(VLOOKUP($A82,Seqs!$A:$B,2,FALSE),VLOOKUP($A82,'NonXtal_SegEnds_Prot#'!$A:$AL,22,FALSE)+8,1)</f>
        <v>S</v>
      </c>
      <c r="Z82" s="90" t="str">
        <f>MID(VLOOKUP($A82,Seqs!$A:$B,2,FALSE),VLOOKUP($A82,'NonXtal_SegEnds_Prot#'!$A:$AL,22,FALSE)+9,1)</f>
        <v>P</v>
      </c>
      <c r="AA82" s="90" t="str">
        <f>MID(VLOOKUP($A82,Seqs!$A:$B,2,FALSE),VLOOKUP($A82,'NonXtal_SegEnds_Prot#'!$A:$AL,22,FALSE)+10,1)</f>
        <v>S</v>
      </c>
      <c r="AB82" s="64" t="str">
        <f>MID(VLOOKUP($A82,Seqs!$A:$B,2,FALSE),VLOOKUP($A82,'NonXtal_SegEnds_Prot#'!$A:$AL,28,FALSE)-4,1)</f>
        <v>G</v>
      </c>
      <c r="AC82" s="90" t="str">
        <f>MID(VLOOKUP($A82,Seqs!$A:$B,2,FALSE),VLOOKUP($A82,'NonXtal_SegEnds_Prot#'!$A:$AL,28,FALSE),1)</f>
        <v>P</v>
      </c>
    </row>
    <row r="83" spans="1:29" s="2" customFormat="1" x14ac:dyDescent="0.2">
      <c r="A83" s="2" t="s">
        <v>378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64" t="str">
        <f>MID(VLOOKUP($A83,Seqs!$A:$B,2,FALSE),VLOOKUP($A83,'NonXtal_SegEnds_Prot#'!A:AL,10,FALSE),1)</f>
        <v>D</v>
      </c>
      <c r="S83" s="90" t="str">
        <f>MID(VLOOKUP($A83,Seqs!$A:$B,2,FALSE),VLOOKUP($A83,'NonXtal_SegEnds_Prot#'!A:AL,10,FALSE)+6,1)</f>
        <v>T</v>
      </c>
      <c r="T83" s="90" t="str">
        <f>MID(VLOOKUP($A83,Seqs!$A:$B,2,FALSE),VLOOKUP($A83,'NonXtal_SegEnds_Prot#'!A:AL,10,FALSE)+7,1)</f>
        <v>L</v>
      </c>
      <c r="U83" s="90" t="str">
        <f>MID(VLOOKUP($A83,Seqs!$A:$B,2,FALSE),VLOOKUP($A83,'NonXtal_SegEnds_Prot#'!A:AL,10,FALSE)+8,1)</f>
        <v>P</v>
      </c>
      <c r="V83" s="90" t="str">
        <f>MID(VLOOKUP($A83,Seqs!$A:$B,2,FALSE),VLOOKUP($A83,'NonXtal_SegEnds_Prot#'!A:AL,10,FALSE)+9,1)</f>
        <v>I</v>
      </c>
      <c r="W83" s="64" t="str">
        <f>MID(VLOOKUP($A83,Seqs!$A:$B,2,FALSE),VLOOKUP($A83,'NonXtal_SegEnds_Prot#'!$A:$AL,22,FALSE)+6,1)</f>
        <v>L</v>
      </c>
      <c r="X83" s="90" t="str">
        <f>MID(VLOOKUP($A83,Seqs!$A:$B,2,FALSE),VLOOKUP($A83,'NonXtal_SegEnds_Prot#'!$A:$AL,22,FALSE)+7,1)</f>
        <v>S</v>
      </c>
      <c r="Y83" s="90" t="str">
        <f>MID(VLOOKUP($A83,Seqs!$A:$B,2,FALSE),VLOOKUP($A83,'NonXtal_SegEnds_Prot#'!$A:$AL,22,FALSE)+8,1)</f>
        <v>L</v>
      </c>
      <c r="Z83" s="90" t="str">
        <f>MID(VLOOKUP($A83,Seqs!$A:$B,2,FALSE),VLOOKUP($A83,'NonXtal_SegEnds_Prot#'!$A:$AL,22,FALSE)+9,1)</f>
        <v>P</v>
      </c>
      <c r="AA83" s="90" t="str">
        <f>MID(VLOOKUP($A83,Seqs!$A:$B,2,FALSE),VLOOKUP($A83,'NonXtal_SegEnds_Prot#'!$A:$AL,22,FALSE)+10,1)</f>
        <v>F</v>
      </c>
      <c r="AB83" s="64" t="str">
        <f>MID(VLOOKUP($A83,Seqs!$A:$B,2,FALSE),VLOOKUP($A83,'NonXtal_SegEnds_Prot#'!$A:$AL,28,FALSE)-4,1)</f>
        <v>G</v>
      </c>
      <c r="AC83" s="90" t="str">
        <f>MID(VLOOKUP($A83,Seqs!$A:$B,2,FALSE),VLOOKUP($A83,'NonXtal_SegEnds_Prot#'!$A:$AL,28,FALSE),1)</f>
        <v>P</v>
      </c>
    </row>
    <row r="84" spans="1:29" s="2" customFormat="1" x14ac:dyDescent="0.2">
      <c r="A84" s="2" t="s">
        <v>382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64" t="str">
        <f>MID(VLOOKUP($A84,Seqs!$A:$B,2,FALSE),VLOOKUP($A84,'NonXtal_SegEnds_Prot#'!A:AL,10,FALSE),1)</f>
        <v>D</v>
      </c>
      <c r="S84" s="90" t="str">
        <f>MID(VLOOKUP($A84,Seqs!$A:$B,2,FALSE),VLOOKUP($A84,'NonXtal_SegEnds_Prot#'!A:AL,10,FALSE)+6,1)</f>
        <v>T</v>
      </c>
      <c r="T84" s="90" t="str">
        <f>MID(VLOOKUP($A84,Seqs!$A:$B,2,FALSE),VLOOKUP($A84,'NonXtal_SegEnds_Prot#'!A:AL,10,FALSE)+7,1)</f>
        <v>L</v>
      </c>
      <c r="U84" s="90" t="str">
        <f>MID(VLOOKUP($A84,Seqs!$A:$B,2,FALSE),VLOOKUP($A84,'NonXtal_SegEnds_Prot#'!A:AL,10,FALSE)+8,1)</f>
        <v>P</v>
      </c>
      <c r="V84" s="90" t="str">
        <f>MID(VLOOKUP($A84,Seqs!$A:$B,2,FALSE),VLOOKUP($A84,'NonXtal_SegEnds_Prot#'!A:AL,10,FALSE)+9,1)</f>
        <v>F</v>
      </c>
      <c r="W84" s="64" t="str">
        <f>MID(VLOOKUP($A84,Seqs!$A:$B,2,FALSE),VLOOKUP($A84,'NonXtal_SegEnds_Prot#'!$A:$AL,22,FALSE)+6,1)</f>
        <v>V</v>
      </c>
      <c r="X84" s="90" t="str">
        <f>MID(VLOOKUP($A84,Seqs!$A:$B,2,FALSE),VLOOKUP($A84,'NonXtal_SegEnds_Prot#'!$A:$AL,22,FALSE)+7,1)</f>
        <v>S</v>
      </c>
      <c r="Y84" s="90" t="str">
        <f>MID(VLOOKUP($A84,Seqs!$A:$B,2,FALSE),VLOOKUP($A84,'NonXtal_SegEnds_Prot#'!$A:$AL,22,FALSE)+8,1)</f>
        <v>L</v>
      </c>
      <c r="Z84" s="90" t="str">
        <f>MID(VLOOKUP($A84,Seqs!$A:$B,2,FALSE),VLOOKUP($A84,'NonXtal_SegEnds_Prot#'!$A:$AL,22,FALSE)+9,1)</f>
        <v>P</v>
      </c>
      <c r="AA84" s="90" t="str">
        <f>MID(VLOOKUP($A84,Seqs!$A:$B,2,FALSE),VLOOKUP($A84,'NonXtal_SegEnds_Prot#'!$A:$AL,22,FALSE)+10,1)</f>
        <v>Q</v>
      </c>
      <c r="AB84" s="64" t="str">
        <f>MID(VLOOKUP($A84,Seqs!$A:$B,2,FALSE),VLOOKUP($A84,'NonXtal_SegEnds_Prot#'!$A:$AL,28,FALSE)-4,1)</f>
        <v>G</v>
      </c>
      <c r="AC84" s="90" t="str">
        <f>MID(VLOOKUP($A84,Seqs!$A:$B,2,FALSE),VLOOKUP($A84,'NonXtal_SegEnds_Prot#'!$A:$AL,28,FALSE),1)</f>
        <v>P</v>
      </c>
    </row>
    <row r="85" spans="1:29" s="2" customFormat="1" x14ac:dyDescent="0.2">
      <c r="A85" s="2" t="s">
        <v>384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64" t="str">
        <f>MID(VLOOKUP($A85,Seqs!$A:$B,2,FALSE),VLOOKUP($A85,'NonXtal_SegEnds_Prot#'!A:AL,10,FALSE),1)</f>
        <v>D</v>
      </c>
      <c r="S85" s="90" t="str">
        <f>MID(VLOOKUP($A85,Seqs!$A:$B,2,FALSE),VLOOKUP($A85,'NonXtal_SegEnds_Prot#'!A:AL,10,FALSE)+6,1)</f>
        <v>L</v>
      </c>
      <c r="T85" s="90" t="str">
        <f>MID(VLOOKUP($A85,Seqs!$A:$B,2,FALSE),VLOOKUP($A85,'NonXtal_SegEnds_Prot#'!A:AL,10,FALSE)+7,1)</f>
        <v>V</v>
      </c>
      <c r="U85" s="90" t="str">
        <f>MID(VLOOKUP($A85,Seqs!$A:$B,2,FALSE),VLOOKUP($A85,'NonXtal_SegEnds_Prot#'!A:AL,10,FALSE)+8,1)</f>
        <v>M</v>
      </c>
      <c r="V85" s="90" t="str">
        <f>MID(VLOOKUP($A85,Seqs!$A:$B,2,FALSE),VLOOKUP($A85,'NonXtal_SegEnds_Prot#'!A:AL,10,FALSE)+9,1)</f>
        <v>P</v>
      </c>
      <c r="W85" s="64" t="str">
        <f>MID(VLOOKUP($A85,Seqs!$A:$B,2,FALSE),VLOOKUP($A85,'NonXtal_SegEnds_Prot#'!$A:$AL,22,FALSE)+6,1)</f>
        <v>I</v>
      </c>
      <c r="X85" s="90" t="str">
        <f>MID(VLOOKUP($A85,Seqs!$A:$B,2,FALSE),VLOOKUP($A85,'NonXtal_SegEnds_Prot#'!$A:$AL,22,FALSE)+7,1)</f>
        <v>S</v>
      </c>
      <c r="Y85" s="90" t="str">
        <f>MID(VLOOKUP($A85,Seqs!$A:$B,2,FALSE),VLOOKUP($A85,'NonXtal_SegEnds_Prot#'!$A:$AL,22,FALSE)+8,1)</f>
        <v>C</v>
      </c>
      <c r="Z85" s="90" t="str">
        <f>MID(VLOOKUP($A85,Seqs!$A:$B,2,FALSE),VLOOKUP($A85,'NonXtal_SegEnds_Prot#'!$A:$AL,22,FALSE)+9,1)</f>
        <v>P</v>
      </c>
      <c r="AA85" s="90" t="str">
        <f>MID(VLOOKUP($A85,Seqs!$A:$B,2,FALSE),VLOOKUP($A85,'NonXtal_SegEnds_Prot#'!$A:$AL,22,FALSE)+10,1)</f>
        <v>L</v>
      </c>
      <c r="AB85" s="64" t="str">
        <f>MID(VLOOKUP($A85,Seqs!$A:$B,2,FALSE),VLOOKUP($A85,'NonXtal_SegEnds_Prot#'!$A:$AL,28,FALSE)-4,1)</f>
        <v>S</v>
      </c>
      <c r="AC85" s="90" t="str">
        <f>MID(VLOOKUP($A85,Seqs!$A:$B,2,FALSE),VLOOKUP($A85,'NonXtal_SegEnds_Prot#'!$A:$AL,28,FALSE),1)</f>
        <v>P</v>
      </c>
    </row>
    <row r="86" spans="1:29" s="2" customFormat="1" x14ac:dyDescent="0.2">
      <c r="A86" s="2" t="s">
        <v>385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64" t="str">
        <f>MID(VLOOKUP($A86,Seqs!$A:$B,2,FALSE),VLOOKUP($A86,'NonXtal_SegEnds_Prot#'!A:AL,10,FALSE),1)</f>
        <v>D</v>
      </c>
      <c r="S86" s="90" t="str">
        <f>MID(VLOOKUP($A86,Seqs!$A:$B,2,FALSE),VLOOKUP($A86,'NonXtal_SegEnds_Prot#'!A:AL,10,FALSE)+6,1)</f>
        <v>L</v>
      </c>
      <c r="T86" s="90" t="str">
        <f>MID(VLOOKUP($A86,Seqs!$A:$B,2,FALSE),VLOOKUP($A86,'NonXtal_SegEnds_Prot#'!A:AL,10,FALSE)+7,1)</f>
        <v>V</v>
      </c>
      <c r="U86" s="90" t="str">
        <f>MID(VLOOKUP($A86,Seqs!$A:$B,2,FALSE),VLOOKUP($A86,'NonXtal_SegEnds_Prot#'!A:AL,10,FALSE)+8,1)</f>
        <v>M</v>
      </c>
      <c r="V86" s="90" t="str">
        <f>MID(VLOOKUP($A86,Seqs!$A:$B,2,FALSE),VLOOKUP($A86,'NonXtal_SegEnds_Prot#'!A:AL,10,FALSE)+9,1)</f>
        <v>P</v>
      </c>
      <c r="W86" s="64" t="str">
        <f>MID(VLOOKUP($A86,Seqs!$A:$B,2,FALSE),VLOOKUP($A86,'NonXtal_SegEnds_Prot#'!$A:$AL,22,FALSE)+6,1)</f>
        <v>V</v>
      </c>
      <c r="X86" s="90" t="str">
        <f>MID(VLOOKUP($A86,Seqs!$A:$B,2,FALSE),VLOOKUP($A86,'NonXtal_SegEnds_Prot#'!$A:$AL,22,FALSE)+7,1)</f>
        <v>S</v>
      </c>
      <c r="Y86" s="90" t="str">
        <f>MID(VLOOKUP($A86,Seqs!$A:$B,2,FALSE),VLOOKUP($A86,'NonXtal_SegEnds_Prot#'!$A:$AL,22,FALSE)+8,1)</f>
        <v>C</v>
      </c>
      <c r="Z86" s="90" t="str">
        <f>MID(VLOOKUP($A86,Seqs!$A:$B,2,FALSE),VLOOKUP($A86,'NonXtal_SegEnds_Prot#'!$A:$AL,22,FALSE)+9,1)</f>
        <v>P</v>
      </c>
      <c r="AA86" s="90" t="str">
        <f>MID(VLOOKUP($A86,Seqs!$A:$B,2,FALSE),VLOOKUP($A86,'NonXtal_SegEnds_Prot#'!$A:$AL,22,FALSE)+10,1)</f>
        <v>L</v>
      </c>
      <c r="AB86" s="64" t="str">
        <f>MID(VLOOKUP($A86,Seqs!$A:$B,2,FALSE),VLOOKUP($A86,'NonXtal_SegEnds_Prot#'!$A:$AL,28,FALSE)-4,1)</f>
        <v>S</v>
      </c>
      <c r="AC86" s="90" t="str">
        <f>MID(VLOOKUP($A86,Seqs!$A:$B,2,FALSE),VLOOKUP($A86,'NonXtal_SegEnds_Prot#'!$A:$AL,28,FALSE),1)</f>
        <v>P</v>
      </c>
    </row>
    <row r="87" spans="1:29" s="2" customFormat="1" x14ac:dyDescent="0.2">
      <c r="A87" s="2" t="s">
        <v>399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64" t="str">
        <f>MID(VLOOKUP($A87,Seqs!$A:$B,2,FALSE),VLOOKUP($A87,'NonXtal_SegEnds_Prot#'!A:AL,10,FALSE),1)</f>
        <v>D</v>
      </c>
      <c r="S87" s="90" t="str">
        <f>MID(VLOOKUP($A87,Seqs!$A:$B,2,FALSE),VLOOKUP($A87,'NonXtal_SegEnds_Prot#'!A:AL,10,FALSE)+6,1)</f>
        <v>C</v>
      </c>
      <c r="T87" s="90" t="str">
        <f>MID(VLOOKUP($A87,Seqs!$A:$B,2,FALSE),VLOOKUP($A87,'NonXtal_SegEnds_Prot#'!A:AL,10,FALSE)+7,1)</f>
        <v>C</v>
      </c>
      <c r="U87" s="90" t="str">
        <f>MID(VLOOKUP($A87,Seqs!$A:$B,2,FALSE),VLOOKUP($A87,'NonXtal_SegEnds_Prot#'!A:AL,10,FALSE)+8,1)</f>
        <v>V</v>
      </c>
      <c r="V87" s="90" t="str">
        <f>MID(VLOOKUP($A87,Seqs!$A:$B,2,FALSE),VLOOKUP($A87,'NonXtal_SegEnds_Prot#'!A:AL,10,FALSE)+9,1)</f>
        <v>P</v>
      </c>
      <c r="W87" s="64" t="str">
        <f>MID(VLOOKUP($A87,Seqs!$A:$B,2,FALSE),VLOOKUP($A87,'NonXtal_SegEnds_Prot#'!$A:$AL,22,FALSE)+6,1)</f>
        <v>F</v>
      </c>
      <c r="X87" s="90" t="str">
        <f>MID(VLOOKUP($A87,Seqs!$A:$B,2,FALSE),VLOOKUP($A87,'NonXtal_SegEnds_Prot#'!$A:$AL,22,FALSE)+7,1)</f>
        <v>S</v>
      </c>
      <c r="Y87" s="90" t="str">
        <f>MID(VLOOKUP($A87,Seqs!$A:$B,2,FALSE),VLOOKUP($A87,'NonXtal_SegEnds_Prot#'!$A:$AL,22,FALSE)+8,1)</f>
        <v>G</v>
      </c>
      <c r="Z87" s="90" t="str">
        <f>MID(VLOOKUP($A87,Seqs!$A:$B,2,FALSE),VLOOKUP($A87,'NonXtal_SegEnds_Prot#'!$A:$AL,22,FALSE)+9,1)</f>
        <v>P</v>
      </c>
      <c r="AA87" s="90" t="str">
        <f>MID(VLOOKUP($A87,Seqs!$A:$B,2,FALSE),VLOOKUP($A87,'NonXtal_SegEnds_Prot#'!$A:$AL,22,FALSE)+10,1)</f>
        <v>Y</v>
      </c>
      <c r="AB87" s="64" t="str">
        <f>MID(VLOOKUP($A87,Seqs!$A:$B,2,FALSE),VLOOKUP($A87,'NonXtal_SegEnds_Prot#'!$A:$AL,28,FALSE)-4,1)</f>
        <v>S</v>
      </c>
      <c r="AC87" s="90" t="str">
        <f>MID(VLOOKUP($A87,Seqs!$A:$B,2,FALSE),VLOOKUP($A87,'NonXtal_SegEnds_Prot#'!$A:$AL,28,FALSE),1)</f>
        <v>P</v>
      </c>
    </row>
    <row r="88" spans="1:29" s="2" customFormat="1" x14ac:dyDescent="0.2">
      <c r="A88" s="2" t="s">
        <v>400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64" t="str">
        <f>MID(VLOOKUP($A88,Seqs!$A:$B,2,FALSE),VLOOKUP($A88,'NonXtal_SegEnds_Prot#'!A:AL,10,FALSE),1)</f>
        <v>D</v>
      </c>
      <c r="S88" s="90" t="str">
        <f>MID(VLOOKUP($A88,Seqs!$A:$B,2,FALSE),VLOOKUP($A88,'NonXtal_SegEnds_Prot#'!A:AL,10,FALSE)+6,1)</f>
        <v>C</v>
      </c>
      <c r="T88" s="90" t="str">
        <f>MID(VLOOKUP($A88,Seqs!$A:$B,2,FALSE),VLOOKUP($A88,'NonXtal_SegEnds_Prot#'!A:AL,10,FALSE)+7,1)</f>
        <v>C</v>
      </c>
      <c r="U88" s="90" t="str">
        <f>MID(VLOOKUP($A88,Seqs!$A:$B,2,FALSE),VLOOKUP($A88,'NonXtal_SegEnds_Prot#'!A:AL,10,FALSE)+8,1)</f>
        <v>V</v>
      </c>
      <c r="V88" s="90" t="str">
        <f>MID(VLOOKUP($A88,Seqs!$A:$B,2,FALSE),VLOOKUP($A88,'NonXtal_SegEnds_Prot#'!A:AL,10,FALSE)+9,1)</f>
        <v>P</v>
      </c>
      <c r="W88" s="64" t="str">
        <f>MID(VLOOKUP($A88,Seqs!$A:$B,2,FALSE),VLOOKUP($A88,'NonXtal_SegEnds_Prot#'!$A:$AL,22,FALSE)+6,1)</f>
        <v>F</v>
      </c>
      <c r="X88" s="90" t="str">
        <f>MID(VLOOKUP($A88,Seqs!$A:$B,2,FALSE),VLOOKUP($A88,'NonXtal_SegEnds_Prot#'!$A:$AL,22,FALSE)+7,1)</f>
        <v>S</v>
      </c>
      <c r="Y88" s="90" t="str">
        <f>MID(VLOOKUP($A88,Seqs!$A:$B,2,FALSE),VLOOKUP($A88,'NonXtal_SegEnds_Prot#'!$A:$AL,22,FALSE)+8,1)</f>
        <v>A</v>
      </c>
      <c r="Z88" s="90" t="str">
        <f>MID(VLOOKUP($A88,Seqs!$A:$B,2,FALSE),VLOOKUP($A88,'NonXtal_SegEnds_Prot#'!$A:$AL,22,FALSE)+9,1)</f>
        <v>P</v>
      </c>
      <c r="AA88" s="90" t="str">
        <f>MID(VLOOKUP($A88,Seqs!$A:$B,2,FALSE),VLOOKUP($A88,'NonXtal_SegEnds_Prot#'!$A:$AL,22,FALSE)+10,1)</f>
        <v>Y</v>
      </c>
      <c r="AB88" s="64" t="str">
        <f>MID(VLOOKUP($A88,Seqs!$A:$B,2,FALSE),VLOOKUP($A88,'NonXtal_SegEnds_Prot#'!$A:$AL,28,FALSE)-4,1)</f>
        <v>G</v>
      </c>
      <c r="AC88" s="90" t="str">
        <f>MID(VLOOKUP($A88,Seqs!$A:$B,2,FALSE),VLOOKUP($A88,'NonXtal_SegEnds_Prot#'!$A:$AL,28,FALSE),1)</f>
        <v>P</v>
      </c>
    </row>
    <row r="89" spans="1:29" s="2" customFormat="1" x14ac:dyDescent="0.2">
      <c r="A89" s="2" t="s">
        <v>408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64" t="str">
        <f>MID(VLOOKUP($A89,Seqs!$A:$B,2,FALSE),VLOOKUP($A89,'NonXtal_SegEnds_Prot#'!A:AL,10,FALSE),1)</f>
        <v>D</v>
      </c>
      <c r="S89" s="90" t="str">
        <f>MID(VLOOKUP($A89,Seqs!$A:$B,2,FALSE),VLOOKUP($A89,'NonXtal_SegEnds_Prot#'!A:AL,10,FALSE)+6,1)</f>
        <v>L</v>
      </c>
      <c r="T89" s="90" t="str">
        <f>MID(VLOOKUP($A89,Seqs!$A:$B,2,FALSE),VLOOKUP($A89,'NonXtal_SegEnds_Prot#'!A:AL,10,FALSE)+7,1)</f>
        <v>C</v>
      </c>
      <c r="U89" s="90" t="str">
        <f>MID(VLOOKUP($A89,Seqs!$A:$B,2,FALSE),VLOOKUP($A89,'NonXtal_SegEnds_Prot#'!A:AL,10,FALSE)+8,1)</f>
        <v>L</v>
      </c>
      <c r="V89" s="90" t="str">
        <f>MID(VLOOKUP($A89,Seqs!$A:$B,2,FALSE),VLOOKUP($A89,'NonXtal_SegEnds_Prot#'!A:AL,10,FALSE)+9,1)</f>
        <v>P</v>
      </c>
      <c r="W89" s="64" t="str">
        <f>MID(VLOOKUP($A89,Seqs!$A:$B,2,FALSE),VLOOKUP($A89,'NonXtal_SegEnds_Prot#'!$A:$AL,22,FALSE)+6,1)</f>
        <v>F</v>
      </c>
      <c r="X89" s="90" t="str">
        <f>MID(VLOOKUP($A89,Seqs!$A:$B,2,FALSE),VLOOKUP($A89,'NonXtal_SegEnds_Prot#'!$A:$AL,22,FALSE)+7,1)</f>
        <v>S</v>
      </c>
      <c r="Y89" s="90" t="str">
        <f>MID(VLOOKUP($A89,Seqs!$A:$B,2,FALSE),VLOOKUP($A89,'NonXtal_SegEnds_Prot#'!$A:$AL,22,FALSE)+8,1)</f>
        <v>L</v>
      </c>
      <c r="Z89" s="90" t="str">
        <f>MID(VLOOKUP($A89,Seqs!$A:$B,2,FALSE),VLOOKUP($A89,'NonXtal_SegEnds_Prot#'!$A:$AL,22,FALSE)+9,1)</f>
        <v>P</v>
      </c>
      <c r="AA89" s="90" t="str">
        <f>MID(VLOOKUP($A89,Seqs!$A:$B,2,FALSE),VLOOKUP($A89,'NonXtal_SegEnds_Prot#'!$A:$AL,22,FALSE)+10,1)</f>
        <v>W</v>
      </c>
      <c r="AB89" s="64" t="str">
        <f>MID(VLOOKUP($A89,Seqs!$A:$B,2,FALSE),VLOOKUP($A89,'NonXtal_SegEnds_Prot#'!$A:$AL,28,FALSE)-4,1)</f>
        <v>C</v>
      </c>
      <c r="AC89" s="90" t="str">
        <f>MID(VLOOKUP($A89,Seqs!$A:$B,2,FALSE),VLOOKUP($A89,'NonXtal_SegEnds_Prot#'!$A:$AL,28,FALSE),1)</f>
        <v>P</v>
      </c>
    </row>
    <row r="90" spans="1:29" s="2" customFormat="1" x14ac:dyDescent="0.2">
      <c r="A90" s="2" t="s">
        <v>417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64" t="str">
        <f>MID(VLOOKUP($A90,Seqs!$A:$B,2,FALSE),VLOOKUP($A90,'NonXtal_SegEnds_Prot#'!A:AL,10,FALSE),1)</f>
        <v>D</v>
      </c>
      <c r="S90" s="90" t="str">
        <f>MID(VLOOKUP($A90,Seqs!$A:$B,2,FALSE),VLOOKUP($A90,'NonXtal_SegEnds_Prot#'!A:AL,10,FALSE)+6,1)</f>
        <v>A</v>
      </c>
      <c r="T90" s="90" t="str">
        <f>MID(VLOOKUP($A90,Seqs!$A:$B,2,FALSE),VLOOKUP($A90,'NonXtal_SegEnds_Prot#'!A:AL,10,FALSE)+7,1)</f>
        <v>A</v>
      </c>
      <c r="U90" s="90" t="str">
        <f>MID(VLOOKUP($A90,Seqs!$A:$B,2,FALSE),VLOOKUP($A90,'NonXtal_SegEnds_Prot#'!A:AL,10,FALSE)+8,1)</f>
        <v>A</v>
      </c>
      <c r="V90" s="90" t="str">
        <f>MID(VLOOKUP($A90,Seqs!$A:$B,2,FALSE),VLOOKUP($A90,'NonXtal_SegEnds_Prot#'!A:AL,10,FALSE)+9,1)</f>
        <v>F</v>
      </c>
      <c r="W90" s="64" t="str">
        <f>MID(VLOOKUP($A90,Seqs!$A:$B,2,FALSE),VLOOKUP($A90,'NonXtal_SegEnds_Prot#'!$A:$AL,22,FALSE)+6,1)</f>
        <v>F</v>
      </c>
      <c r="X90" s="90" t="str">
        <f>MID(VLOOKUP($A90,Seqs!$A:$B,2,FALSE),VLOOKUP($A90,'NonXtal_SegEnds_Prot#'!$A:$AL,22,FALSE)+7,1)</f>
        <v>S</v>
      </c>
      <c r="Y90" s="90" t="str">
        <f>MID(VLOOKUP($A90,Seqs!$A:$B,2,FALSE),VLOOKUP($A90,'NonXtal_SegEnds_Prot#'!$A:$AL,22,FALSE)+8,1)</f>
        <v>V</v>
      </c>
      <c r="Z90" s="90" t="str">
        <f>MID(VLOOKUP($A90,Seqs!$A:$B,2,FALSE),VLOOKUP($A90,'NonXtal_SegEnds_Prot#'!$A:$AL,22,FALSE)+9,1)</f>
        <v>P</v>
      </c>
      <c r="AA90" s="90" t="str">
        <f>MID(VLOOKUP($A90,Seqs!$A:$B,2,FALSE),VLOOKUP($A90,'NonXtal_SegEnds_Prot#'!$A:$AL,22,FALSE)+10,1)</f>
        <v>W</v>
      </c>
      <c r="AB90" s="64" t="str">
        <f>MID(VLOOKUP($A90,Seqs!$A:$B,2,FALSE),VLOOKUP($A90,'NonXtal_SegEnds_Prot#'!$A:$AL,28,FALSE)-4,1)</f>
        <v>G</v>
      </c>
      <c r="AC90" s="90" t="str">
        <f>MID(VLOOKUP($A90,Seqs!$A:$B,2,FALSE),VLOOKUP($A90,'NonXtal_SegEnds_Prot#'!$A:$AL,28,FALSE),1)</f>
        <v>P</v>
      </c>
    </row>
    <row r="91" spans="1:29" s="2" customFormat="1" x14ac:dyDescent="0.2">
      <c r="A91" s="2" t="s">
        <v>425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64" t="str">
        <f>MID(VLOOKUP($A91,Seqs!$A:$B,2,FALSE),VLOOKUP($A91,'NonXtal_SegEnds_Prot#'!A:AL,10,FALSE),1)</f>
        <v>G</v>
      </c>
      <c r="S91" s="90" t="str">
        <f>MID(VLOOKUP($A91,Seqs!$A:$B,2,FALSE),VLOOKUP($A91,'NonXtal_SegEnds_Prot#'!A:AL,10,FALSE)+6,1)</f>
        <v>V</v>
      </c>
      <c r="T91" s="90" t="str">
        <f>MID(VLOOKUP($A91,Seqs!$A:$B,2,FALSE),VLOOKUP($A91,'NonXtal_SegEnds_Prot#'!A:AL,10,FALSE)+7,1)</f>
        <v>C</v>
      </c>
      <c r="U91" s="90" t="str">
        <f>MID(VLOOKUP($A91,Seqs!$A:$B,2,FALSE),VLOOKUP($A91,'NonXtal_SegEnds_Prot#'!A:AL,10,FALSE)+8,1)</f>
        <v>V</v>
      </c>
      <c r="V91" s="90" t="str">
        <f>MID(VLOOKUP($A91,Seqs!$A:$B,2,FALSE),VLOOKUP($A91,'NonXtal_SegEnds_Prot#'!A:AL,10,FALSE)+9,1)</f>
        <v>P</v>
      </c>
      <c r="W91" s="64" t="str">
        <f>MID(VLOOKUP($A91,Seqs!$A:$B,2,FALSE),VLOOKUP($A91,'NonXtal_SegEnds_Prot#'!$A:$AL,22,FALSE)+6,1)</f>
        <v>A</v>
      </c>
      <c r="X91" s="90" t="str">
        <f>MID(VLOOKUP($A91,Seqs!$A:$B,2,FALSE),VLOOKUP($A91,'NonXtal_SegEnds_Prot#'!$A:$AL,22,FALSE)+7,1)</f>
        <v>S</v>
      </c>
      <c r="Y91" s="90" t="str">
        <f>MID(VLOOKUP($A91,Seqs!$A:$B,2,FALSE),VLOOKUP($A91,'NonXtal_SegEnds_Prot#'!$A:$AL,22,FALSE)+8,1)</f>
        <v>V</v>
      </c>
      <c r="Z91" s="90" t="str">
        <f>MID(VLOOKUP($A91,Seqs!$A:$B,2,FALSE),VLOOKUP($A91,'NonXtal_SegEnds_Prot#'!$A:$AL,22,FALSE)+9,1)</f>
        <v>P</v>
      </c>
      <c r="AA91" s="90" t="str">
        <f>MID(VLOOKUP($A91,Seqs!$A:$B,2,FALSE),VLOOKUP($A91,'NonXtal_SegEnds_Prot#'!$A:$AL,22,FALSE)+10,1)</f>
        <v>V</v>
      </c>
      <c r="AB91" s="64" t="str">
        <f>MID(VLOOKUP($A91,Seqs!$A:$B,2,FALSE),VLOOKUP($A91,'NonXtal_SegEnds_Prot#'!$A:$AL,28,FALSE)-4,1)</f>
        <v>T</v>
      </c>
      <c r="AC91" s="90" t="str">
        <f>MID(VLOOKUP($A91,Seqs!$A:$B,2,FALSE),VLOOKUP($A91,'NonXtal_SegEnds_Prot#'!$A:$AL,28,FALSE),1)</f>
        <v>P</v>
      </c>
    </row>
    <row r="92" spans="1:29" s="2" customFormat="1" x14ac:dyDescent="0.2">
      <c r="A92" s="2" t="s">
        <v>445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64" t="str">
        <f>MID(VLOOKUP($A92,Seqs!$A:$B,2,FALSE),VLOOKUP($A92,'NonXtal_SegEnds_Prot#'!A:AL,10,FALSE),1)</f>
        <v>Y</v>
      </c>
      <c r="S92" s="90" t="str">
        <f>MID(VLOOKUP($A92,Seqs!$A:$B,2,FALSE),VLOOKUP($A92,'NonXtal_SegEnds_Prot#'!A:AL,10,FALSE)+6,1)</f>
        <v>I</v>
      </c>
      <c r="T92" s="90" t="str">
        <f>MID(VLOOKUP($A92,Seqs!$A:$B,2,FALSE),VLOOKUP($A92,'NonXtal_SegEnds_Prot#'!A:AL,10,FALSE)+7,1)</f>
        <v>L</v>
      </c>
      <c r="U92" s="90" t="str">
        <f>MID(VLOOKUP($A92,Seqs!$A:$B,2,FALSE),VLOOKUP($A92,'NonXtal_SegEnds_Prot#'!A:AL,10,FALSE)+8,1)</f>
        <v>P</v>
      </c>
      <c r="V92" s="90" t="str">
        <f>MID(VLOOKUP($A92,Seqs!$A:$B,2,FALSE),VLOOKUP($A92,'NonXtal_SegEnds_Prot#'!A:AL,10,FALSE)+9,1)</f>
        <v>F</v>
      </c>
      <c r="W92" s="64" t="str">
        <f>MID(VLOOKUP($A92,Seqs!$A:$B,2,FALSE),VLOOKUP($A92,'NonXtal_SegEnds_Prot#'!$A:$AL,22,FALSE)+6,1)</f>
        <v>L</v>
      </c>
      <c r="X92" s="90" t="str">
        <f>MID(VLOOKUP($A92,Seqs!$A:$B,2,FALSE),VLOOKUP($A92,'NonXtal_SegEnds_Prot#'!$A:$AL,22,FALSE)+7,1)</f>
        <v>S</v>
      </c>
      <c r="Y92" s="90" t="str">
        <f>MID(VLOOKUP($A92,Seqs!$A:$B,2,FALSE),VLOOKUP($A92,'NonXtal_SegEnds_Prot#'!$A:$AL,22,FALSE)+8,1)</f>
        <v>I</v>
      </c>
      <c r="Z92" s="90" t="str">
        <f>MID(VLOOKUP($A92,Seqs!$A:$B,2,FALSE),VLOOKUP($A92,'NonXtal_SegEnds_Prot#'!$A:$AL,22,FALSE)+9,1)</f>
        <v>P</v>
      </c>
      <c r="AA92" s="90" t="str">
        <f>MID(VLOOKUP($A92,Seqs!$A:$B,2,FALSE),VLOOKUP($A92,'NonXtal_SegEnds_Prot#'!$A:$AL,22,FALSE)+10,1)</f>
        <v>Y</v>
      </c>
      <c r="AB92" s="64" t="str">
        <f>MID(VLOOKUP($A92,Seqs!$A:$B,2,FALSE),VLOOKUP($A92,'NonXtal_SegEnds_Prot#'!$A:$AL,28,FALSE)-4,1)</f>
        <v>G</v>
      </c>
      <c r="AC92" s="90" t="str">
        <f>MID(VLOOKUP($A92,Seqs!$A:$B,2,FALSE),VLOOKUP($A92,'NonXtal_SegEnds_Prot#'!$A:$AL,28,FALSE),1)</f>
        <v>P</v>
      </c>
    </row>
    <row r="93" spans="1:29" s="2" customFormat="1" x14ac:dyDescent="0.2">
      <c r="A93" s="2" t="s">
        <v>454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64" t="str">
        <f>MID(VLOOKUP($A93,Seqs!$A:$B,2,FALSE),VLOOKUP($A93,'NonXtal_SegEnds_Prot#'!A:AL,10,FALSE),1)</f>
        <v>D</v>
      </c>
      <c r="S93" s="90" t="str">
        <f>MID(VLOOKUP($A93,Seqs!$A:$B,2,FALSE),VLOOKUP($A93,'NonXtal_SegEnds_Prot#'!A:AL,10,FALSE)+6,1)</f>
        <v>S</v>
      </c>
      <c r="T93" s="90" t="str">
        <f>MID(VLOOKUP($A93,Seqs!$A:$B,2,FALSE),VLOOKUP($A93,'NonXtal_SegEnds_Prot#'!A:AL,10,FALSE)+7,1)</f>
        <v>L</v>
      </c>
      <c r="U93" s="90" t="str">
        <f>MID(VLOOKUP($A93,Seqs!$A:$B,2,FALSE),VLOOKUP($A93,'NonXtal_SegEnds_Prot#'!A:AL,10,FALSE)+8,1)</f>
        <v>P</v>
      </c>
      <c r="V93" s="90" t="str">
        <f>MID(VLOOKUP($A93,Seqs!$A:$B,2,FALSE),VLOOKUP($A93,'NonXtal_SegEnds_Prot#'!A:AL,10,FALSE)+9,1)</f>
        <v>F</v>
      </c>
      <c r="W93" s="64" t="str">
        <f>MID(VLOOKUP($A93,Seqs!$A:$B,2,FALSE),VLOOKUP($A93,'NonXtal_SegEnds_Prot#'!$A:$AL,22,FALSE)+6,1)</f>
        <v>G</v>
      </c>
      <c r="X93" s="90" t="str">
        <f>MID(VLOOKUP($A93,Seqs!$A:$B,2,FALSE),VLOOKUP($A93,'NonXtal_SegEnds_Prot#'!$A:$AL,22,FALSE)+7,1)</f>
        <v>S</v>
      </c>
      <c r="Y93" s="90" t="str">
        <f>MID(VLOOKUP($A93,Seqs!$A:$B,2,FALSE),VLOOKUP($A93,'NonXtal_SegEnds_Prot#'!$A:$AL,22,FALSE)+8,1)</f>
        <v>I</v>
      </c>
      <c r="Z93" s="90" t="str">
        <f>MID(VLOOKUP($A93,Seqs!$A:$B,2,FALSE),VLOOKUP($A93,'NonXtal_SegEnds_Prot#'!$A:$AL,22,FALSE)+9,1)</f>
        <v>P</v>
      </c>
      <c r="AA93" s="90" t="str">
        <f>MID(VLOOKUP($A93,Seqs!$A:$B,2,FALSE),VLOOKUP($A93,'NonXtal_SegEnds_Prot#'!$A:$AL,22,FALSE)+10,1)</f>
        <v>I</v>
      </c>
      <c r="AB93" s="64" t="str">
        <f>MID(VLOOKUP($A93,Seqs!$A:$B,2,FALSE),VLOOKUP($A93,'NonXtal_SegEnds_Prot#'!$A:$AL,28,FALSE)-4,1)</f>
        <v>G</v>
      </c>
      <c r="AC93" s="90" t="str">
        <f>MID(VLOOKUP($A93,Seqs!$A:$B,2,FALSE),VLOOKUP($A93,'NonXtal_SegEnds_Prot#'!$A:$AL,28,FALSE),1)</f>
        <v>P</v>
      </c>
    </row>
    <row r="94" spans="1:29" s="2" customFormat="1" x14ac:dyDescent="0.2">
      <c r="A94" s="2" t="s">
        <v>462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64" t="str">
        <f>MID(VLOOKUP($A94,Seqs!$A:$B,2,FALSE),VLOOKUP($A94,'NonXtal_SegEnds_Prot#'!A:AL,10,FALSE),1)</f>
        <v>D</v>
      </c>
      <c r="S94" s="90" t="str">
        <f>MID(VLOOKUP($A94,Seqs!$A:$B,2,FALSE),VLOOKUP($A94,'NonXtal_SegEnds_Prot#'!A:AL,10,FALSE)+6,1)</f>
        <v>L</v>
      </c>
      <c r="T94" s="90" t="str">
        <f>MID(VLOOKUP($A94,Seqs!$A:$B,2,FALSE),VLOOKUP($A94,'NonXtal_SegEnds_Prot#'!A:AL,10,FALSE)+7,1)</f>
        <v>N</v>
      </c>
      <c r="U94" s="90" t="str">
        <f>MID(VLOOKUP($A94,Seqs!$A:$B,2,FALSE),VLOOKUP($A94,'NonXtal_SegEnds_Prot#'!A:AL,10,FALSE)+8,1)</f>
        <v>T</v>
      </c>
      <c r="V94" s="90" t="str">
        <f>MID(VLOOKUP($A94,Seqs!$A:$B,2,FALSE),VLOOKUP($A94,'NonXtal_SegEnds_Prot#'!A:AL,10,FALSE)+9,1)</f>
        <v>P</v>
      </c>
      <c r="W94" s="64" t="str">
        <f>MID(VLOOKUP($A94,Seqs!$A:$B,2,FALSE),VLOOKUP($A94,'NonXtal_SegEnds_Prot#'!$A:$AL,22,FALSE)+6,1)</f>
        <v>F</v>
      </c>
      <c r="X94" s="90" t="str">
        <f>MID(VLOOKUP($A94,Seqs!$A:$B,2,FALSE),VLOOKUP($A94,'NonXtal_SegEnds_Prot#'!$A:$AL,22,FALSE)+7,1)</f>
        <v>S</v>
      </c>
      <c r="Y94" s="90" t="str">
        <f>MID(VLOOKUP($A94,Seqs!$A:$B,2,FALSE),VLOOKUP($A94,'NonXtal_SegEnds_Prot#'!$A:$AL,22,FALSE)+8,1)</f>
        <v>L</v>
      </c>
      <c r="Z94" s="90" t="str">
        <f>MID(VLOOKUP($A94,Seqs!$A:$B,2,FALSE),VLOOKUP($A94,'NonXtal_SegEnds_Prot#'!$A:$AL,22,FALSE)+9,1)</f>
        <v>P</v>
      </c>
      <c r="AA94" s="90" t="str">
        <f>MID(VLOOKUP($A94,Seqs!$A:$B,2,FALSE),VLOOKUP($A94,'NonXtal_SegEnds_Prot#'!$A:$AL,22,FALSE)+10,1)</f>
        <v>H</v>
      </c>
      <c r="AB94" s="64" t="str">
        <f>MID(VLOOKUP($A94,Seqs!$A:$B,2,FALSE),VLOOKUP($A94,'NonXtal_SegEnds_Prot#'!$A:$AL,28,FALSE)-4,1)</f>
        <v>L</v>
      </c>
      <c r="AC94" s="90" t="str">
        <f>MID(VLOOKUP($A94,Seqs!$A:$B,2,FALSE),VLOOKUP($A94,'NonXtal_SegEnds_Prot#'!$A:$AL,28,FALSE),1)</f>
        <v>P</v>
      </c>
    </row>
    <row r="95" spans="1:29" s="2" customFormat="1" x14ac:dyDescent="0.2">
      <c r="A95" s="2" t="s">
        <v>465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64" t="str">
        <f>MID(VLOOKUP($A95,Seqs!$A:$B,2,FALSE),VLOOKUP($A95,'NonXtal_SegEnds_Prot#'!A:AL,10,FALSE),1)</f>
        <v>D</v>
      </c>
      <c r="S95" s="90" t="str">
        <f>MID(VLOOKUP($A95,Seqs!$A:$B,2,FALSE),VLOOKUP($A95,'NonXtal_SegEnds_Prot#'!A:AL,10,FALSE)+6,1)</f>
        <v>T</v>
      </c>
      <c r="T95" s="90" t="str">
        <f>MID(VLOOKUP($A95,Seqs!$A:$B,2,FALSE),VLOOKUP($A95,'NonXtal_SegEnds_Prot#'!A:AL,10,FALSE)+7,1)</f>
        <v>F</v>
      </c>
      <c r="U95" s="90" t="str">
        <f>MID(VLOOKUP($A95,Seqs!$A:$B,2,FALSE),VLOOKUP($A95,'NonXtal_SegEnds_Prot#'!A:AL,10,FALSE)+8,1)</f>
        <v>P</v>
      </c>
      <c r="V95" s="90" t="str">
        <f>MID(VLOOKUP($A95,Seqs!$A:$B,2,FALSE),VLOOKUP($A95,'NonXtal_SegEnds_Prot#'!A:AL,10,FALSE)+9,1)</f>
        <v>F</v>
      </c>
      <c r="W95" s="64" t="str">
        <f>MID(VLOOKUP($A95,Seqs!$A:$B,2,FALSE),VLOOKUP($A95,'NonXtal_SegEnds_Prot#'!$A:$AL,22,FALSE)+6,1)</f>
        <v>L</v>
      </c>
      <c r="X95" s="90" t="str">
        <f>MID(VLOOKUP($A95,Seqs!$A:$B,2,FALSE),VLOOKUP($A95,'NonXtal_SegEnds_Prot#'!$A:$AL,22,FALSE)+7,1)</f>
        <v>S</v>
      </c>
      <c r="Y95" s="90" t="str">
        <f>MID(VLOOKUP($A95,Seqs!$A:$B,2,FALSE),VLOOKUP($A95,'NonXtal_SegEnds_Prot#'!$A:$AL,22,FALSE)+8,1)</f>
        <v>L</v>
      </c>
      <c r="Z95" s="90" t="str">
        <f>MID(VLOOKUP($A95,Seqs!$A:$B,2,FALSE),VLOOKUP($A95,'NonXtal_SegEnds_Prot#'!$A:$AL,22,FALSE)+9,1)</f>
        <v>P</v>
      </c>
      <c r="AA95" s="90" t="str">
        <f>MID(VLOOKUP($A95,Seqs!$A:$B,2,FALSE),VLOOKUP($A95,'NonXtal_SegEnds_Prot#'!$A:$AL,22,FALSE)+10,1)</f>
        <v>N</v>
      </c>
      <c r="AB95" s="64" t="str">
        <f>MID(VLOOKUP($A95,Seqs!$A:$B,2,FALSE),VLOOKUP($A95,'NonXtal_SegEnds_Prot#'!$A:$AL,28,FALSE)-4,1)</f>
        <v>L</v>
      </c>
      <c r="AC95" s="90" t="str">
        <f>MID(VLOOKUP($A95,Seqs!$A:$B,2,FALSE),VLOOKUP($A95,'NonXtal_SegEnds_Prot#'!$A:$AL,28,FALSE),1)</f>
        <v>V</v>
      </c>
    </row>
    <row r="96" spans="1:29" s="2" customFormat="1" x14ac:dyDescent="0.2">
      <c r="A96" s="2" t="s">
        <v>475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64" t="str">
        <f>MID(VLOOKUP($A96,Seqs!$A:$B,2,FALSE),VLOOKUP($A96,'NonXtal_SegEnds_Prot#'!A:AL,10,FALSE),1)</f>
        <v>D</v>
      </c>
      <c r="S96" s="90" t="str">
        <f>MID(VLOOKUP($A96,Seqs!$A:$B,2,FALSE),VLOOKUP($A96,'NonXtal_SegEnds_Prot#'!A:AL,10,FALSE)+6,1)</f>
        <v>C</v>
      </c>
      <c r="T96" s="90" t="str">
        <f>MID(VLOOKUP($A96,Seqs!$A:$B,2,FALSE),VLOOKUP($A96,'NonXtal_SegEnds_Prot#'!A:AL,10,FALSE)+7,1)</f>
        <v>C</v>
      </c>
      <c r="U96" s="90" t="str">
        <f>MID(VLOOKUP($A96,Seqs!$A:$B,2,FALSE),VLOOKUP($A96,'NonXtal_SegEnds_Prot#'!A:AL,10,FALSE)+8,1)</f>
        <v>V</v>
      </c>
      <c r="V96" s="90" t="str">
        <f>MID(VLOOKUP($A96,Seqs!$A:$B,2,FALSE),VLOOKUP($A96,'NonXtal_SegEnds_Prot#'!A:AL,10,FALSE)+9,1)</f>
        <v>P</v>
      </c>
      <c r="W96" s="64" t="str">
        <f>MID(VLOOKUP($A96,Seqs!$A:$B,2,FALSE),VLOOKUP($A96,'NonXtal_SegEnds_Prot#'!$A:$AL,22,FALSE)+6,1)</f>
        <v>V</v>
      </c>
      <c r="X96" s="90" t="str">
        <f>MID(VLOOKUP($A96,Seqs!$A:$B,2,FALSE),VLOOKUP($A96,'NonXtal_SegEnds_Prot#'!$A:$AL,22,FALSE)+7,1)</f>
        <v>S</v>
      </c>
      <c r="Y96" s="90" t="str">
        <f>MID(VLOOKUP($A96,Seqs!$A:$B,2,FALSE),VLOOKUP($A96,'NonXtal_SegEnds_Prot#'!$A:$AL,22,FALSE)+8,1)</f>
        <v>A</v>
      </c>
      <c r="Z96" s="90" t="str">
        <f>MID(VLOOKUP($A96,Seqs!$A:$B,2,FALSE),VLOOKUP($A96,'NonXtal_SegEnds_Prot#'!$A:$AL,22,FALSE)+9,1)</f>
        <v>P</v>
      </c>
      <c r="AA96" s="90" t="str">
        <f>MID(VLOOKUP($A96,Seqs!$A:$B,2,FALSE),VLOOKUP($A96,'NonXtal_SegEnds_Prot#'!$A:$AL,22,FALSE)+10,1)</f>
        <v>V</v>
      </c>
      <c r="AB96" s="64" t="str">
        <f>MID(VLOOKUP($A96,Seqs!$A:$B,2,FALSE),VLOOKUP($A96,'NonXtal_SegEnds_Prot#'!$A:$AL,28,FALSE)-4,1)</f>
        <v>L</v>
      </c>
      <c r="AC96" s="90" t="str">
        <f>MID(VLOOKUP($A96,Seqs!$A:$B,2,FALSE),VLOOKUP($A96,'NonXtal_SegEnds_Prot#'!$A:$AL,28,FALSE),1)</f>
        <v>P</v>
      </c>
    </row>
    <row r="97" spans="1:29" s="2" customFormat="1" x14ac:dyDescent="0.2">
      <c r="A97" s="2" t="s">
        <v>483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64" t="str">
        <f>MID(VLOOKUP($A97,Seqs!$A:$B,2,FALSE),VLOOKUP($A97,'NonXtal_SegEnds_Prot#'!A:AL,10,FALSE),1)</f>
        <v>D</v>
      </c>
      <c r="S97" s="90" t="str">
        <f>MID(VLOOKUP($A97,Seqs!$A:$B,2,FALSE),VLOOKUP($A97,'NonXtal_SegEnds_Prot#'!A:AL,10,FALSE)+6,1)</f>
        <v>T</v>
      </c>
      <c r="T97" s="90" t="str">
        <f>MID(VLOOKUP($A97,Seqs!$A:$B,2,FALSE),VLOOKUP($A97,'NonXtal_SegEnds_Prot#'!A:AL,10,FALSE)+7,1)</f>
        <v>L</v>
      </c>
      <c r="U97" s="90" t="str">
        <f>MID(VLOOKUP($A97,Seqs!$A:$B,2,FALSE),VLOOKUP($A97,'NonXtal_SegEnds_Prot#'!A:AL,10,FALSE)+8,1)</f>
        <v>P</v>
      </c>
      <c r="V97" s="90" t="str">
        <f>MID(VLOOKUP($A97,Seqs!$A:$B,2,FALSE),VLOOKUP($A97,'NonXtal_SegEnds_Prot#'!A:AL,10,FALSE)+9,1)</f>
        <v>F</v>
      </c>
      <c r="W97" s="64" t="str">
        <f>MID(VLOOKUP($A97,Seqs!$A:$B,2,FALSE),VLOOKUP($A97,'NonXtal_SegEnds_Prot#'!$A:$AL,22,FALSE)+6,1)</f>
        <v>G</v>
      </c>
      <c r="X97" s="90" t="str">
        <f>MID(VLOOKUP($A97,Seqs!$A:$B,2,FALSE),VLOOKUP($A97,'NonXtal_SegEnds_Prot#'!$A:$AL,22,FALSE)+7,1)</f>
        <v>S</v>
      </c>
      <c r="Y97" s="90" t="str">
        <f>MID(VLOOKUP($A97,Seqs!$A:$B,2,FALSE),VLOOKUP($A97,'NonXtal_SegEnds_Prot#'!$A:$AL,22,FALSE)+8,1)</f>
        <v>A</v>
      </c>
      <c r="Z97" s="90" t="str">
        <f>MID(VLOOKUP($A97,Seqs!$A:$B,2,FALSE),VLOOKUP($A97,'NonXtal_SegEnds_Prot#'!$A:$AL,22,FALSE)+9,1)</f>
        <v>P</v>
      </c>
      <c r="AA97" s="90" t="str">
        <f>MID(VLOOKUP($A97,Seqs!$A:$B,2,FALSE),VLOOKUP($A97,'NonXtal_SegEnds_Prot#'!$A:$AL,22,FALSE)+10,1)</f>
        <v>A</v>
      </c>
      <c r="AB97" s="64" t="str">
        <f>MID(VLOOKUP($A97,Seqs!$A:$B,2,FALSE),VLOOKUP($A97,'NonXtal_SegEnds_Prot#'!$A:$AL,28,FALSE)-4,1)</f>
        <v>G</v>
      </c>
      <c r="AC97" s="90" t="str">
        <f>MID(VLOOKUP($A97,Seqs!$A:$B,2,FALSE),VLOOKUP($A97,'NonXtal_SegEnds_Prot#'!$A:$AL,28,FALSE),1)</f>
        <v>P</v>
      </c>
    </row>
    <row r="98" spans="1:29" s="2" customFormat="1" x14ac:dyDescent="0.2">
      <c r="A98" s="2" t="s">
        <v>511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64" t="str">
        <f>MID(VLOOKUP($A98,Seqs!$A:$B,2,FALSE),VLOOKUP($A98,'NonXtal_SegEnds_Prot#'!A:AL,10,FALSE),1)</f>
        <v>D</v>
      </c>
      <c r="S98" s="90" t="str">
        <f>MID(VLOOKUP($A98,Seqs!$A:$B,2,FALSE),VLOOKUP($A98,'NonXtal_SegEnds_Prot#'!A:AL,10,FALSE)+6,1)</f>
        <v>V</v>
      </c>
      <c r="T98" s="90" t="str">
        <f>MID(VLOOKUP($A98,Seqs!$A:$B,2,FALSE),VLOOKUP($A98,'NonXtal_SegEnds_Prot#'!A:AL,10,FALSE)+7,1)</f>
        <v>G</v>
      </c>
      <c r="U98" s="90" t="str">
        <f>MID(VLOOKUP($A98,Seqs!$A:$B,2,FALSE),VLOOKUP($A98,'NonXtal_SegEnds_Prot#'!A:AL,10,FALSE)+8,1)</f>
        <v>L</v>
      </c>
      <c r="V98" s="90" t="str">
        <f>MID(VLOOKUP($A98,Seqs!$A:$B,2,FALSE),VLOOKUP($A98,'NonXtal_SegEnds_Prot#'!A:AL,10,FALSE)+9,1)</f>
        <v>P</v>
      </c>
      <c r="W98" s="64" t="str">
        <f>MID(VLOOKUP($A98,Seqs!$A:$B,2,FALSE),VLOOKUP($A98,'NonXtal_SegEnds_Prot#'!$A:$AL,22,FALSE)+6,1)</f>
        <v>C</v>
      </c>
      <c r="X98" s="90" t="str">
        <f>MID(VLOOKUP($A98,Seqs!$A:$B,2,FALSE),VLOOKUP($A98,'NonXtal_SegEnds_Prot#'!$A:$AL,22,FALSE)+7,1)</f>
        <v>S</v>
      </c>
      <c r="Y98" s="90" t="str">
        <f>MID(VLOOKUP($A98,Seqs!$A:$B,2,FALSE),VLOOKUP($A98,'NonXtal_SegEnds_Prot#'!$A:$AL,22,FALSE)+8,1)</f>
        <v>L</v>
      </c>
      <c r="Z98" s="90" t="str">
        <f>MID(VLOOKUP($A98,Seqs!$A:$B,2,FALSE),VLOOKUP($A98,'NonXtal_SegEnds_Prot#'!$A:$AL,22,FALSE)+9,1)</f>
        <v>P</v>
      </c>
      <c r="AA98" s="90" t="str">
        <f>MID(VLOOKUP($A98,Seqs!$A:$B,2,FALSE),VLOOKUP($A98,'NonXtal_SegEnds_Prot#'!$A:$AL,22,FALSE)+10,1)</f>
        <v>N</v>
      </c>
      <c r="AB98" s="64" t="str">
        <f>MID(VLOOKUP($A98,Seqs!$A:$B,2,FALSE),VLOOKUP($A98,'NonXtal_SegEnds_Prot#'!$A:$AL,28,FALSE)-4,1)</f>
        <v>F</v>
      </c>
      <c r="AC98" s="90" t="str">
        <f>MID(VLOOKUP($A98,Seqs!$A:$B,2,FALSE),VLOOKUP($A98,'NonXtal_SegEnds_Prot#'!$A:$AL,28,FALSE),1)</f>
        <v>P</v>
      </c>
    </row>
    <row r="99" spans="1:29" s="2" customFormat="1" x14ac:dyDescent="0.2">
      <c r="A99" s="2" t="s">
        <v>512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64" t="str">
        <f>MID(VLOOKUP($A99,Seqs!$A:$B,2,FALSE),VLOOKUP($A99,'NonXtal_SegEnds_Prot#'!A:AL,10,FALSE),1)</f>
        <v>D</v>
      </c>
      <c r="S99" s="90" t="str">
        <f>MID(VLOOKUP($A99,Seqs!$A:$B,2,FALSE),VLOOKUP($A99,'NonXtal_SegEnds_Prot#'!A:AL,10,FALSE)+6,1)</f>
        <v>L</v>
      </c>
      <c r="T99" s="90" t="str">
        <f>MID(VLOOKUP($A99,Seqs!$A:$B,2,FALSE),VLOOKUP($A99,'NonXtal_SegEnds_Prot#'!A:AL,10,FALSE)+7,1)</f>
        <v>G</v>
      </c>
      <c r="U99" s="90" t="str">
        <f>MID(VLOOKUP($A99,Seqs!$A:$B,2,FALSE),VLOOKUP($A99,'NonXtal_SegEnds_Prot#'!A:AL,10,FALSE)+8,1)</f>
        <v>M</v>
      </c>
      <c r="V99" s="90" t="str">
        <f>MID(VLOOKUP($A99,Seqs!$A:$B,2,FALSE),VLOOKUP($A99,'NonXtal_SegEnds_Prot#'!A:AL,10,FALSE)+9,1)</f>
        <v>P</v>
      </c>
      <c r="W99" s="64" t="str">
        <f>MID(VLOOKUP($A99,Seqs!$A:$B,2,FALSE),VLOOKUP($A99,'NonXtal_SegEnds_Prot#'!$A:$AL,22,FALSE)+6,1)</f>
        <v>F</v>
      </c>
      <c r="X99" s="90" t="str">
        <f>MID(VLOOKUP($A99,Seqs!$A:$B,2,FALSE),VLOOKUP($A99,'NonXtal_SegEnds_Prot#'!$A:$AL,22,FALSE)+7,1)</f>
        <v>S</v>
      </c>
      <c r="Y99" s="90" t="str">
        <f>MID(VLOOKUP($A99,Seqs!$A:$B,2,FALSE),VLOOKUP($A99,'NonXtal_SegEnds_Prot#'!$A:$AL,22,FALSE)+8,1)</f>
        <v>L</v>
      </c>
      <c r="Z99" s="90" t="str">
        <f>MID(VLOOKUP($A99,Seqs!$A:$B,2,FALSE),VLOOKUP($A99,'NonXtal_SegEnds_Prot#'!$A:$AL,22,FALSE)+9,1)</f>
        <v>P</v>
      </c>
      <c r="AA99" s="90" t="str">
        <f>MID(VLOOKUP($A99,Seqs!$A:$B,2,FALSE),VLOOKUP($A99,'NonXtal_SegEnds_Prot#'!$A:$AL,22,FALSE)+10,1)</f>
        <v>N</v>
      </c>
      <c r="AB99" s="64" t="str">
        <f>MID(VLOOKUP($A99,Seqs!$A:$B,2,FALSE),VLOOKUP($A99,'NonXtal_SegEnds_Prot#'!$A:$AL,28,FALSE)-4,1)</f>
        <v>F</v>
      </c>
      <c r="AC99" s="90" t="str">
        <f>MID(VLOOKUP($A99,Seqs!$A:$B,2,FALSE),VLOOKUP($A99,'NonXtal_SegEnds_Prot#'!$A:$AL,28,FALSE),1)</f>
        <v>P</v>
      </c>
    </row>
    <row r="100" spans="1:29" s="2" customFormat="1" x14ac:dyDescent="0.2">
      <c r="A100" s="2" t="s">
        <v>517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64" t="str">
        <f>MID(VLOOKUP($A100,Seqs!$A:$B,2,FALSE),VLOOKUP($A100,'NonXtal_SegEnds_Prot#'!A:AL,10,FALSE),1)</f>
        <v>D</v>
      </c>
      <c r="S100" s="90" t="str">
        <f>MID(VLOOKUP($A100,Seqs!$A:$B,2,FALSE),VLOOKUP($A100,'NonXtal_SegEnds_Prot#'!A:AL,10,FALSE)+6,1)</f>
        <v>V</v>
      </c>
      <c r="T100" s="90" t="str">
        <f>MID(VLOOKUP($A100,Seqs!$A:$B,2,FALSE),VLOOKUP($A100,'NonXtal_SegEnds_Prot#'!A:AL,10,FALSE)+7,1)</f>
        <v>N</v>
      </c>
      <c r="U100" s="90" t="str">
        <f>MID(VLOOKUP($A100,Seqs!$A:$B,2,FALSE),VLOOKUP($A100,'NonXtal_SegEnds_Prot#'!A:AL,10,FALSE)+8,1)</f>
        <v>I</v>
      </c>
      <c r="V100" s="90" t="str">
        <f>MID(VLOOKUP($A100,Seqs!$A:$B,2,FALSE),VLOOKUP($A100,'NonXtal_SegEnds_Prot#'!A:AL,10,FALSE)+9,1)</f>
        <v>L</v>
      </c>
      <c r="W100" s="64" t="str">
        <f>MID(VLOOKUP($A100,Seqs!$A:$B,2,FALSE),VLOOKUP($A100,'NonXtal_SegEnds_Prot#'!$A:$AL,22,FALSE)+6,1)</f>
        <v>F</v>
      </c>
      <c r="X100" s="90" t="str">
        <f>MID(VLOOKUP($A100,Seqs!$A:$B,2,FALSE),VLOOKUP($A100,'NonXtal_SegEnds_Prot#'!$A:$AL,22,FALSE)+7,1)</f>
        <v>S</v>
      </c>
      <c r="Y100" s="90" t="str">
        <f>MID(VLOOKUP($A100,Seqs!$A:$B,2,FALSE),VLOOKUP($A100,'NonXtal_SegEnds_Prot#'!$A:$AL,22,FALSE)+8,1)</f>
        <v>I</v>
      </c>
      <c r="Z100" s="90" t="str">
        <f>MID(VLOOKUP($A100,Seqs!$A:$B,2,FALSE),VLOOKUP($A100,'NonXtal_SegEnds_Prot#'!$A:$AL,22,FALSE)+9,1)</f>
        <v>P</v>
      </c>
      <c r="AA100" s="90" t="str">
        <f>MID(VLOOKUP($A100,Seqs!$A:$B,2,FALSE),VLOOKUP($A100,'NonXtal_SegEnds_Prot#'!$A:$AL,22,FALSE)+10,1)</f>
        <v>T</v>
      </c>
      <c r="AB100" s="64" t="str">
        <f>MID(VLOOKUP($A100,Seqs!$A:$B,2,FALSE),VLOOKUP($A100,'NonXtal_SegEnds_Prot#'!$A:$AL,28,FALSE)-4,1)</f>
        <v>V</v>
      </c>
      <c r="AC100" s="90" t="str">
        <f>MID(VLOOKUP($A100,Seqs!$A:$B,2,FALSE),VLOOKUP($A100,'NonXtal_SegEnds_Prot#'!$A:$AL,28,FALSE),1)</f>
        <v>P</v>
      </c>
    </row>
    <row r="101" spans="1:29" s="2" customFormat="1" x14ac:dyDescent="0.2">
      <c r="A101" s="2" t="s">
        <v>518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64" t="str">
        <f>MID(VLOOKUP($A101,Seqs!$A:$B,2,FALSE),VLOOKUP($A101,'NonXtal_SegEnds_Prot#'!A:AL,10,FALSE),1)</f>
        <v>D</v>
      </c>
      <c r="S101" s="90" t="str">
        <f>MID(VLOOKUP($A101,Seqs!$A:$B,2,FALSE),VLOOKUP($A101,'NonXtal_SegEnds_Prot#'!A:AL,10,FALSE)+6,1)</f>
        <v>M</v>
      </c>
      <c r="T101" s="90" t="str">
        <f>MID(VLOOKUP($A101,Seqs!$A:$B,2,FALSE),VLOOKUP($A101,'NonXtal_SegEnds_Prot#'!A:AL,10,FALSE)+7,1)</f>
        <v>C</v>
      </c>
      <c r="U101" s="90" t="str">
        <f>MID(VLOOKUP($A101,Seqs!$A:$B,2,FALSE),VLOOKUP($A101,'NonXtal_SegEnds_Prot#'!A:AL,10,FALSE)+8,1)</f>
        <v>L</v>
      </c>
      <c r="V101" s="90" t="str">
        <f>MID(VLOOKUP($A101,Seqs!$A:$B,2,FALSE),VLOOKUP($A101,'NonXtal_SegEnds_Prot#'!A:AL,10,FALSE)+9,1)</f>
        <v>P</v>
      </c>
      <c r="W101" s="64" t="str">
        <f>MID(VLOOKUP($A101,Seqs!$A:$B,2,FALSE),VLOOKUP($A101,'NonXtal_SegEnds_Prot#'!$A:$AL,22,FALSE)+6,1)</f>
        <v>S</v>
      </c>
      <c r="X101" s="90" t="str">
        <f>MID(VLOOKUP($A101,Seqs!$A:$B,2,FALSE),VLOOKUP($A101,'NonXtal_SegEnds_Prot#'!$A:$AL,22,FALSE)+7,1)</f>
        <v>S</v>
      </c>
      <c r="Y101" s="90" t="str">
        <f>MID(VLOOKUP($A101,Seqs!$A:$B,2,FALSE),VLOOKUP($A101,'NonXtal_SegEnds_Prot#'!$A:$AL,22,FALSE)+8,1)</f>
        <v>L</v>
      </c>
      <c r="Z101" s="90" t="str">
        <f>MID(VLOOKUP($A101,Seqs!$A:$B,2,FALSE),VLOOKUP($A101,'NonXtal_SegEnds_Prot#'!$A:$AL,22,FALSE)+9,1)</f>
        <v>P</v>
      </c>
      <c r="AA101" s="90" t="str">
        <f>MID(VLOOKUP($A101,Seqs!$A:$B,2,FALSE),VLOOKUP($A101,'NonXtal_SegEnds_Prot#'!$A:$AL,22,FALSE)+10,1)</f>
        <v>F</v>
      </c>
      <c r="AB101" s="64" t="str">
        <f>MID(VLOOKUP($A101,Seqs!$A:$B,2,FALSE),VLOOKUP($A101,'NonXtal_SegEnds_Prot#'!$A:$AL,28,FALSE)-4,1)</f>
        <v>Q</v>
      </c>
      <c r="AC101" s="90" t="str">
        <f>MID(VLOOKUP($A101,Seqs!$A:$B,2,FALSE),VLOOKUP($A101,'NonXtal_SegEnds_Prot#'!$A:$AL,28,FALSE),1)</f>
        <v>P</v>
      </c>
    </row>
    <row r="102" spans="1:29" s="2" customFormat="1" x14ac:dyDescent="0.2">
      <c r="A102" s="2" t="s">
        <v>520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64" t="str">
        <f>MID(VLOOKUP($A102,Seqs!$A:$B,2,FALSE),VLOOKUP($A102,'NonXtal_SegEnds_Prot#'!A:AL,10,FALSE),1)</f>
        <v>D</v>
      </c>
      <c r="S102" s="90" t="str">
        <f>MID(VLOOKUP($A102,Seqs!$A:$B,2,FALSE),VLOOKUP($A102,'NonXtal_SegEnds_Prot#'!A:AL,10,FALSE)+6,1)</f>
        <v>L</v>
      </c>
      <c r="T102" s="90" t="str">
        <f>MID(VLOOKUP($A102,Seqs!$A:$B,2,FALSE),VLOOKUP($A102,'NonXtal_SegEnds_Prot#'!A:AL,10,FALSE)+7,1)</f>
        <v>C</v>
      </c>
      <c r="U102" s="90" t="str">
        <f>MID(VLOOKUP($A102,Seqs!$A:$B,2,FALSE),VLOOKUP($A102,'NonXtal_SegEnds_Prot#'!A:AL,10,FALSE)+8,1)</f>
        <v>Q</v>
      </c>
      <c r="V102" s="90" t="str">
        <f>MID(VLOOKUP($A102,Seqs!$A:$B,2,FALSE),VLOOKUP($A102,'NonXtal_SegEnds_Prot#'!A:AL,10,FALSE)+9,1)</f>
        <v>P</v>
      </c>
      <c r="W102" s="64" t="str">
        <f>MID(VLOOKUP($A102,Seqs!$A:$B,2,FALSE),VLOOKUP($A102,'NonXtal_SegEnds_Prot#'!$A:$AL,22,FALSE)+6,1)</f>
        <v>L</v>
      </c>
      <c r="X102" s="90" t="str">
        <f>MID(VLOOKUP($A102,Seqs!$A:$B,2,FALSE),VLOOKUP($A102,'NonXtal_SegEnds_Prot#'!$A:$AL,22,FALSE)+7,1)</f>
        <v>S</v>
      </c>
      <c r="Y102" s="90" t="str">
        <f>MID(VLOOKUP($A102,Seqs!$A:$B,2,FALSE),VLOOKUP($A102,'NonXtal_SegEnds_Prot#'!$A:$AL,22,FALSE)+8,1)</f>
        <v>L</v>
      </c>
      <c r="Z102" s="90" t="str">
        <f>MID(VLOOKUP($A102,Seqs!$A:$B,2,FALSE),VLOOKUP($A102,'NonXtal_SegEnds_Prot#'!$A:$AL,22,FALSE)+9,1)</f>
        <v>P</v>
      </c>
      <c r="AA102" s="90" t="str">
        <f>MID(VLOOKUP($A102,Seqs!$A:$B,2,FALSE),VLOOKUP($A102,'NonXtal_SegEnds_Prot#'!$A:$AL,22,FALSE)+10,1)</f>
        <v>F</v>
      </c>
      <c r="AB102" s="64" t="str">
        <f>MID(VLOOKUP($A102,Seqs!$A:$B,2,FALSE),VLOOKUP($A102,'NonXtal_SegEnds_Prot#'!$A:$AL,28,FALSE)-4,1)</f>
        <v>Q</v>
      </c>
      <c r="AC102" s="90" t="str">
        <f>MID(VLOOKUP($A102,Seqs!$A:$B,2,FALSE),VLOOKUP($A102,'NonXtal_SegEnds_Prot#'!$A:$AL,28,FALSE),1)</f>
        <v>P</v>
      </c>
    </row>
    <row r="103" spans="1:29" s="2" customFormat="1" x14ac:dyDescent="0.2">
      <c r="A103" s="2" t="s">
        <v>522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64" t="str">
        <f>MID(VLOOKUP($A103,Seqs!$A:$B,2,FALSE),VLOOKUP($A103,'NonXtal_SegEnds_Prot#'!A:AL,10,FALSE),1)</f>
        <v>D</v>
      </c>
      <c r="S103" s="90" t="str">
        <f>MID(VLOOKUP($A103,Seqs!$A:$B,2,FALSE),VLOOKUP($A103,'NonXtal_SegEnds_Prot#'!A:AL,10,FALSE)+6,1)</f>
        <v>M</v>
      </c>
      <c r="T103" s="90" t="str">
        <f>MID(VLOOKUP($A103,Seqs!$A:$B,2,FALSE),VLOOKUP($A103,'NonXtal_SegEnds_Prot#'!A:AL,10,FALSE)+7,1)</f>
        <v>C</v>
      </c>
      <c r="U103" s="90" t="str">
        <f>MID(VLOOKUP($A103,Seqs!$A:$B,2,FALSE),VLOOKUP($A103,'NonXtal_SegEnds_Prot#'!A:AL,10,FALSE)+8,1)</f>
        <v>I</v>
      </c>
      <c r="V103" s="90" t="str">
        <f>MID(VLOOKUP($A103,Seqs!$A:$B,2,FALSE),VLOOKUP($A103,'NonXtal_SegEnds_Prot#'!A:AL,10,FALSE)+9,1)</f>
        <v>H</v>
      </c>
      <c r="W103" s="64" t="str">
        <f>MID(VLOOKUP($A103,Seqs!$A:$B,2,FALSE),VLOOKUP($A103,'NonXtal_SegEnds_Prot#'!$A:$AL,22,FALSE)+6,1)</f>
        <v>L</v>
      </c>
      <c r="X103" s="90" t="str">
        <f>MID(VLOOKUP($A103,Seqs!$A:$B,2,FALSE),VLOOKUP($A103,'NonXtal_SegEnds_Prot#'!$A:$AL,22,FALSE)+7,1)</f>
        <v>S</v>
      </c>
      <c r="Y103" s="90" t="str">
        <f>MID(VLOOKUP($A103,Seqs!$A:$B,2,FALSE),VLOOKUP($A103,'NonXtal_SegEnds_Prot#'!$A:$AL,22,FALSE)+8,1)</f>
        <v>I</v>
      </c>
      <c r="Z103" s="90" t="str">
        <f>MID(VLOOKUP($A103,Seqs!$A:$B,2,FALSE),VLOOKUP($A103,'NonXtal_SegEnds_Prot#'!$A:$AL,22,FALSE)+9,1)</f>
        <v>P</v>
      </c>
      <c r="AA103" s="90" t="str">
        <f>MID(VLOOKUP($A103,Seqs!$A:$B,2,FALSE),VLOOKUP($A103,'NonXtal_SegEnds_Prot#'!$A:$AL,22,FALSE)+10,1)</f>
        <v>F</v>
      </c>
      <c r="AB103" s="64" t="str">
        <f>MID(VLOOKUP($A103,Seqs!$A:$B,2,FALSE),VLOOKUP($A103,'NonXtal_SegEnds_Prot#'!$A:$AL,28,FALSE)-4,1)</f>
        <v>Q</v>
      </c>
      <c r="AC103" s="90" t="str">
        <f>MID(VLOOKUP($A103,Seqs!$A:$B,2,FALSE),VLOOKUP($A103,'NonXtal_SegEnds_Prot#'!$A:$AL,28,FALSE),1)</f>
        <v>P</v>
      </c>
    </row>
    <row r="104" spans="1:29" s="2" customFormat="1" x14ac:dyDescent="0.2">
      <c r="A104" s="2" t="s">
        <v>537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64" t="str">
        <f>MID(VLOOKUP($A104,Seqs!$A:$B,2,FALSE),VLOOKUP($A104,'NonXtal_SegEnds_Prot#'!A:AL,10,FALSE),1)</f>
        <v>D</v>
      </c>
      <c r="S104" s="90" t="str">
        <f>MID(VLOOKUP($A104,Seqs!$A:$B,2,FALSE),VLOOKUP($A104,'NonXtal_SegEnds_Prot#'!A:AL,10,FALSE)+6,1)</f>
        <v>F</v>
      </c>
      <c r="T104" s="90" t="str">
        <f>MID(VLOOKUP($A104,Seqs!$A:$B,2,FALSE),VLOOKUP($A104,'NonXtal_SegEnds_Prot#'!A:AL,10,FALSE)+7,1)</f>
        <v>Q</v>
      </c>
      <c r="U104" s="90" t="str">
        <f>MID(VLOOKUP($A104,Seqs!$A:$B,2,FALSE),VLOOKUP($A104,'NonXtal_SegEnds_Prot#'!A:AL,10,FALSE)+8,1)</f>
        <v>V</v>
      </c>
      <c r="V104" s="90" t="str">
        <f>MID(VLOOKUP($A104,Seqs!$A:$B,2,FALSE),VLOOKUP($A104,'NonXtal_SegEnds_Prot#'!A:AL,10,FALSE)+9,1)</f>
        <v>L</v>
      </c>
      <c r="W104" s="64" t="str">
        <f>MID(VLOOKUP($A104,Seqs!$A:$B,2,FALSE),VLOOKUP($A104,'NonXtal_SegEnds_Prot#'!$A:$AL,22,FALSE)+6,1)</f>
        <v>A</v>
      </c>
      <c r="X104" s="90" t="str">
        <f>MID(VLOOKUP($A104,Seqs!$A:$B,2,FALSE),VLOOKUP($A104,'NonXtal_SegEnds_Prot#'!$A:$AL,22,FALSE)+7,1)</f>
        <v>S</v>
      </c>
      <c r="Y104" s="90" t="str">
        <f>MID(VLOOKUP($A104,Seqs!$A:$B,2,FALSE),VLOOKUP($A104,'NonXtal_SegEnds_Prot#'!$A:$AL,22,FALSE)+8,1)</f>
        <v>A</v>
      </c>
      <c r="Z104" s="90" t="str">
        <f>MID(VLOOKUP($A104,Seqs!$A:$B,2,FALSE),VLOOKUP($A104,'NonXtal_SegEnds_Prot#'!$A:$AL,22,FALSE)+9,1)</f>
        <v>P</v>
      </c>
      <c r="AA104" s="90" t="str">
        <f>MID(VLOOKUP($A104,Seqs!$A:$B,2,FALSE),VLOOKUP($A104,'NonXtal_SegEnds_Prot#'!$A:$AL,22,FALSE)+10,1)</f>
        <v>Q</v>
      </c>
      <c r="AB104" s="64" t="str">
        <f>MID(VLOOKUP($A104,Seqs!$A:$B,2,FALSE),VLOOKUP($A104,'NonXtal_SegEnds_Prot#'!$A:$AL,28,FALSE)-4,1)</f>
        <v>V</v>
      </c>
      <c r="AC104" s="90" t="str">
        <f>MID(VLOOKUP($A104,Seqs!$A:$B,2,FALSE),VLOOKUP($A104,'NonXtal_SegEnds_Prot#'!$A:$AL,28,FALSE),1)</f>
        <v>P</v>
      </c>
    </row>
    <row r="105" spans="1:29" s="2" customFormat="1" x14ac:dyDescent="0.2">
      <c r="A105" s="2" t="s">
        <v>566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64" t="str">
        <f>MID(VLOOKUP($A105,Seqs!$A:$B,2,FALSE),VLOOKUP($A105,'NonXtal_SegEnds_Prot#'!A:AL,10,FALSE),1)</f>
        <v>D</v>
      </c>
      <c r="S105" s="90" t="str">
        <f>MID(VLOOKUP($A105,Seqs!$A:$B,2,FALSE),VLOOKUP($A105,'NonXtal_SegEnds_Prot#'!A:AL,10,FALSE)+6,1)</f>
        <v>T</v>
      </c>
      <c r="T105" s="90" t="str">
        <f>MID(VLOOKUP($A105,Seqs!$A:$B,2,FALSE),VLOOKUP($A105,'NonXtal_SegEnds_Prot#'!A:AL,10,FALSE)+7,1)</f>
        <v>L</v>
      </c>
      <c r="U105" s="90" t="str">
        <f>MID(VLOOKUP($A105,Seqs!$A:$B,2,FALSE),VLOOKUP($A105,'NonXtal_SegEnds_Prot#'!A:AL,10,FALSE)+8,1)</f>
        <v>P</v>
      </c>
      <c r="V105" s="90" t="str">
        <f>MID(VLOOKUP($A105,Seqs!$A:$B,2,FALSE),VLOOKUP($A105,'NonXtal_SegEnds_Prot#'!A:AL,10,FALSE)+9,1)</f>
        <v>F</v>
      </c>
      <c r="W105" s="64" t="str">
        <f>MID(VLOOKUP($A105,Seqs!$A:$B,2,FALSE),VLOOKUP($A105,'NonXtal_SegEnds_Prot#'!$A:$AL,22,FALSE)+6,1)</f>
        <v>A</v>
      </c>
      <c r="X105" s="90" t="str">
        <f>MID(VLOOKUP($A105,Seqs!$A:$B,2,FALSE),VLOOKUP($A105,'NonXtal_SegEnds_Prot#'!$A:$AL,22,FALSE)+7,1)</f>
        <v>S</v>
      </c>
      <c r="Y105" s="90" t="str">
        <f>MID(VLOOKUP($A105,Seqs!$A:$B,2,FALSE),VLOOKUP($A105,'NonXtal_SegEnds_Prot#'!$A:$AL,22,FALSE)+8,1)</f>
        <v>L</v>
      </c>
      <c r="Z105" s="90" t="str">
        <f>MID(VLOOKUP($A105,Seqs!$A:$B,2,FALSE),VLOOKUP($A105,'NonXtal_SegEnds_Prot#'!$A:$AL,22,FALSE)+9,1)</f>
        <v>P</v>
      </c>
      <c r="AA105" s="90" t="str">
        <f>MID(VLOOKUP($A105,Seqs!$A:$B,2,FALSE),VLOOKUP($A105,'NonXtal_SegEnds_Prot#'!$A:$AL,22,FALSE)+10,1)</f>
        <v>S</v>
      </c>
      <c r="AB105" s="64" t="str">
        <f>MID(VLOOKUP($A105,Seqs!$A:$B,2,FALSE),VLOOKUP($A105,'NonXtal_SegEnds_Prot#'!$A:$AL,28,FALSE)-4,1)</f>
        <v>G</v>
      </c>
      <c r="AC105" s="90" t="str">
        <f>MID(VLOOKUP($A105,Seqs!$A:$B,2,FALSE),VLOOKUP($A105,'NonXtal_SegEnds_Prot#'!$A:$AL,28,FALSE),1)</f>
        <v>P</v>
      </c>
    </row>
    <row r="106" spans="1:29" s="2" customFormat="1" x14ac:dyDescent="0.2">
      <c r="A106" s="2" t="s">
        <v>578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64" t="str">
        <f>MID(VLOOKUP($A106,Seqs!$A:$B,2,FALSE),VLOOKUP($A106,'NonXtal_SegEnds_Prot#'!A:AL,10,FALSE),1)</f>
        <v>D</v>
      </c>
      <c r="S106" s="90" t="str">
        <f>MID(VLOOKUP($A106,Seqs!$A:$B,2,FALSE),VLOOKUP($A106,'NonXtal_SegEnds_Prot#'!A:AL,10,FALSE)+6,1)</f>
        <v>G</v>
      </c>
      <c r="T106" s="90" t="str">
        <f>MID(VLOOKUP($A106,Seqs!$A:$B,2,FALSE),VLOOKUP($A106,'NonXtal_SegEnds_Prot#'!A:AL,10,FALSE)+7,1)</f>
        <v>L</v>
      </c>
      <c r="U106" s="90" t="str">
        <f>MID(VLOOKUP($A106,Seqs!$A:$B,2,FALSE),VLOOKUP($A106,'NonXtal_SegEnds_Prot#'!A:AL,10,FALSE)+8,1)</f>
        <v>P</v>
      </c>
      <c r="V106" s="90" t="str">
        <f>MID(VLOOKUP($A106,Seqs!$A:$B,2,FALSE),VLOOKUP($A106,'NonXtal_SegEnds_Prot#'!A:AL,10,FALSE)+9,1)</f>
        <v>F</v>
      </c>
      <c r="W106" s="64" t="str">
        <f>MID(VLOOKUP($A106,Seqs!$A:$B,2,FALSE),VLOOKUP($A106,'NonXtal_SegEnds_Prot#'!$A:$AL,22,FALSE)+6,1)</f>
        <v>M</v>
      </c>
      <c r="X106" s="90" t="str">
        <f>MID(VLOOKUP($A106,Seqs!$A:$B,2,FALSE),VLOOKUP($A106,'NonXtal_SegEnds_Prot#'!$A:$AL,22,FALSE)+7,1)</f>
        <v>S</v>
      </c>
      <c r="Y106" s="90" t="str">
        <f>MID(VLOOKUP($A106,Seqs!$A:$B,2,FALSE),VLOOKUP($A106,'NonXtal_SegEnds_Prot#'!$A:$AL,22,FALSE)+8,1)</f>
        <v>L</v>
      </c>
      <c r="Z106" s="90" t="str">
        <f>MID(VLOOKUP($A106,Seqs!$A:$B,2,FALSE),VLOOKUP($A106,'NonXtal_SegEnds_Prot#'!$A:$AL,22,FALSE)+9,1)</f>
        <v>P</v>
      </c>
      <c r="AA106" s="90" t="str">
        <f>MID(VLOOKUP($A106,Seqs!$A:$B,2,FALSE),VLOOKUP($A106,'NonXtal_SegEnds_Prot#'!$A:$AL,22,FALSE)+10,1)</f>
        <v>L</v>
      </c>
      <c r="AB106" s="64" t="str">
        <f>MID(VLOOKUP($A106,Seqs!$A:$B,2,FALSE),VLOOKUP($A106,'NonXtal_SegEnds_Prot#'!$A:$AL,28,FALSE)-4,1)</f>
        <v>G</v>
      </c>
      <c r="AC106" s="90" t="str">
        <f>MID(VLOOKUP($A106,Seqs!$A:$B,2,FALSE),VLOOKUP($A106,'NonXtal_SegEnds_Prot#'!$A:$AL,28,FALSE),1)</f>
        <v>P</v>
      </c>
    </row>
    <row r="107" spans="1:29" s="2" customFormat="1" x14ac:dyDescent="0.2">
      <c r="A107" s="2" t="s">
        <v>590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64" t="str">
        <f>MID(VLOOKUP($A107,Seqs!$A:$B,2,FALSE),VLOOKUP($A107,'NonXtal_SegEnds_Prot#'!A:AL,10,FALSE),1)</f>
        <v>D</v>
      </c>
      <c r="S107" s="90" t="str">
        <f>MID(VLOOKUP($A107,Seqs!$A:$B,2,FALSE),VLOOKUP($A107,'NonXtal_SegEnds_Prot#'!A:AL,10,FALSE)+6,1)</f>
        <v>F</v>
      </c>
      <c r="T107" s="90" t="str">
        <f>MID(VLOOKUP($A107,Seqs!$A:$B,2,FALSE),VLOOKUP($A107,'NonXtal_SegEnds_Prot#'!A:AL,10,FALSE)+7,1)</f>
        <v>Q</v>
      </c>
      <c r="U107" s="90" t="str">
        <f>MID(VLOOKUP($A107,Seqs!$A:$B,2,FALSE),VLOOKUP($A107,'NonXtal_SegEnds_Prot#'!A:AL,10,FALSE)+8,1)</f>
        <v>V</v>
      </c>
      <c r="V107" s="90" t="str">
        <f>MID(VLOOKUP($A107,Seqs!$A:$B,2,FALSE),VLOOKUP($A107,'NonXtal_SegEnds_Prot#'!A:AL,10,FALSE)+9,1)</f>
        <v>L</v>
      </c>
      <c r="W107" s="64" t="str">
        <f>MID(VLOOKUP($A107,Seqs!$A:$B,2,FALSE),VLOOKUP($A107,'NonXtal_SegEnds_Prot#'!$A:$AL,22,FALSE)+6,1)</f>
        <v>L</v>
      </c>
      <c r="X107" s="90" t="str">
        <f>MID(VLOOKUP($A107,Seqs!$A:$B,2,FALSE),VLOOKUP($A107,'NonXtal_SegEnds_Prot#'!$A:$AL,22,FALSE)+7,1)</f>
        <v>S</v>
      </c>
      <c r="Y107" s="90" t="str">
        <f>MID(VLOOKUP($A107,Seqs!$A:$B,2,FALSE),VLOOKUP($A107,'NonXtal_SegEnds_Prot#'!$A:$AL,22,FALSE)+8,1)</f>
        <v>T</v>
      </c>
      <c r="Z107" s="90" t="str">
        <f>MID(VLOOKUP($A107,Seqs!$A:$B,2,FALSE),VLOOKUP($A107,'NonXtal_SegEnds_Prot#'!$A:$AL,22,FALSE)+9,1)</f>
        <v>P</v>
      </c>
      <c r="AA107" s="90" t="str">
        <f>MID(VLOOKUP($A107,Seqs!$A:$B,2,FALSE),VLOOKUP($A107,'NonXtal_SegEnds_Prot#'!$A:$AL,22,FALSE)+10,1)</f>
        <v>Q</v>
      </c>
      <c r="AB107" s="64" t="str">
        <f>MID(VLOOKUP($A107,Seqs!$A:$B,2,FALSE),VLOOKUP($A107,'NonXtal_SegEnds_Prot#'!$A:$AL,28,FALSE)-4,1)</f>
        <v>I</v>
      </c>
      <c r="AC107" s="90" t="str">
        <f>MID(VLOOKUP($A107,Seqs!$A:$B,2,FALSE),VLOOKUP($A107,'NonXtal_SegEnds_Prot#'!$A:$AL,28,FALSE),1)</f>
        <v>P</v>
      </c>
    </row>
    <row r="108" spans="1:29" s="2" customFormat="1" x14ac:dyDescent="0.2">
      <c r="A108" s="2" t="s">
        <v>591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64" t="str">
        <f>MID(VLOOKUP($A108,Seqs!$A:$B,2,FALSE),VLOOKUP($A108,'NonXtal_SegEnds_Prot#'!A:AL,10,FALSE),1)</f>
        <v>D</v>
      </c>
      <c r="S108" s="90" t="str">
        <f>MID(VLOOKUP($A108,Seqs!$A:$B,2,FALSE),VLOOKUP($A108,'NonXtal_SegEnds_Prot#'!A:AL,10,FALSE)+6,1)</f>
        <v>F</v>
      </c>
      <c r="T108" s="90" t="str">
        <f>MID(VLOOKUP($A108,Seqs!$A:$B,2,FALSE),VLOOKUP($A108,'NonXtal_SegEnds_Prot#'!A:AL,10,FALSE)+7,1)</f>
        <v>Q</v>
      </c>
      <c r="U108" s="90" t="str">
        <f>MID(VLOOKUP($A108,Seqs!$A:$B,2,FALSE),VLOOKUP($A108,'NonXtal_SegEnds_Prot#'!A:AL,10,FALSE)+8,1)</f>
        <v>V</v>
      </c>
      <c r="V108" s="90" t="str">
        <f>MID(VLOOKUP($A108,Seqs!$A:$B,2,FALSE),VLOOKUP($A108,'NonXtal_SegEnds_Prot#'!A:AL,10,FALSE)+9,1)</f>
        <v>L</v>
      </c>
      <c r="W108" s="64" t="str">
        <f>MID(VLOOKUP($A108,Seqs!$A:$B,2,FALSE),VLOOKUP($A108,'NonXtal_SegEnds_Prot#'!$A:$AL,22,FALSE)+6,1)</f>
        <v>F</v>
      </c>
      <c r="X108" s="90" t="str">
        <f>MID(VLOOKUP($A108,Seqs!$A:$B,2,FALSE),VLOOKUP($A108,'NonXtal_SegEnds_Prot#'!$A:$AL,22,FALSE)+7,1)</f>
        <v>S</v>
      </c>
      <c r="Y108" s="90" t="str">
        <f>MID(VLOOKUP($A108,Seqs!$A:$B,2,FALSE),VLOOKUP($A108,'NonXtal_SegEnds_Prot#'!$A:$AL,22,FALSE)+8,1)</f>
        <v>L</v>
      </c>
      <c r="Z108" s="90" t="str">
        <f>MID(VLOOKUP($A108,Seqs!$A:$B,2,FALSE),VLOOKUP($A108,'NonXtal_SegEnds_Prot#'!$A:$AL,22,FALSE)+9,1)</f>
        <v>P</v>
      </c>
      <c r="AA108" s="90" t="str">
        <f>MID(VLOOKUP($A108,Seqs!$A:$B,2,FALSE),VLOOKUP($A108,'NonXtal_SegEnds_Prot#'!$A:$AL,22,FALSE)+10,1)</f>
        <v>Q</v>
      </c>
      <c r="AB108" s="64" t="str">
        <f>MID(VLOOKUP($A108,Seqs!$A:$B,2,FALSE),VLOOKUP($A108,'NonXtal_SegEnds_Prot#'!$A:$AL,28,FALSE)-4,1)</f>
        <v>I</v>
      </c>
      <c r="AC108" s="90" t="str">
        <f>MID(VLOOKUP($A108,Seqs!$A:$B,2,FALSE),VLOOKUP($A108,'NonXtal_SegEnds_Prot#'!$A:$AL,28,FALSE),1)</f>
        <v>P</v>
      </c>
    </row>
    <row r="109" spans="1:29" s="2" customFormat="1" x14ac:dyDescent="0.2">
      <c r="A109" s="2" t="s">
        <v>592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64" t="str">
        <f>MID(VLOOKUP($A109,Seqs!$A:$B,2,FALSE),VLOOKUP($A109,'NonXtal_SegEnds_Prot#'!A:AL,10,FALSE),1)</f>
        <v>D</v>
      </c>
      <c r="S109" s="90" t="str">
        <f>MID(VLOOKUP($A109,Seqs!$A:$B,2,FALSE),VLOOKUP($A109,'NonXtal_SegEnds_Prot#'!A:AL,10,FALSE)+6,1)</f>
        <v>F</v>
      </c>
      <c r="T109" s="90" t="str">
        <f>MID(VLOOKUP($A109,Seqs!$A:$B,2,FALSE),VLOOKUP($A109,'NonXtal_SegEnds_Prot#'!A:AL,10,FALSE)+7,1)</f>
        <v>Q</v>
      </c>
      <c r="U109" s="90" t="str">
        <f>MID(VLOOKUP($A109,Seqs!$A:$B,2,FALSE),VLOOKUP($A109,'NonXtal_SegEnds_Prot#'!A:AL,10,FALSE)+8,1)</f>
        <v>V</v>
      </c>
      <c r="V109" s="90" t="str">
        <f>MID(VLOOKUP($A109,Seqs!$A:$B,2,FALSE),VLOOKUP($A109,'NonXtal_SegEnds_Prot#'!A:AL,10,FALSE)+9,1)</f>
        <v>L</v>
      </c>
      <c r="W109" s="64" t="str">
        <f>MID(VLOOKUP($A109,Seqs!$A:$B,2,FALSE),VLOOKUP($A109,'NonXtal_SegEnds_Prot#'!$A:$AL,22,FALSE)+6,1)</f>
        <v>L</v>
      </c>
      <c r="X109" s="90" t="str">
        <f>MID(VLOOKUP($A109,Seqs!$A:$B,2,FALSE),VLOOKUP($A109,'NonXtal_SegEnds_Prot#'!$A:$AL,22,FALSE)+7,1)</f>
        <v>S</v>
      </c>
      <c r="Y109" s="90" t="str">
        <f>MID(VLOOKUP($A109,Seqs!$A:$B,2,FALSE),VLOOKUP($A109,'NonXtal_SegEnds_Prot#'!$A:$AL,22,FALSE)+8,1)</f>
        <v>L</v>
      </c>
      <c r="Z109" s="90" t="str">
        <f>MID(VLOOKUP($A109,Seqs!$A:$B,2,FALSE),VLOOKUP($A109,'NonXtal_SegEnds_Prot#'!$A:$AL,22,FALSE)+9,1)</f>
        <v>P</v>
      </c>
      <c r="AA109" s="90" t="str">
        <f>MID(VLOOKUP($A109,Seqs!$A:$B,2,FALSE),VLOOKUP($A109,'NonXtal_SegEnds_Prot#'!$A:$AL,22,FALSE)+10,1)</f>
        <v>Q</v>
      </c>
      <c r="AB109" s="64" t="str">
        <f>MID(VLOOKUP($A109,Seqs!$A:$B,2,FALSE),VLOOKUP($A109,'NonXtal_SegEnds_Prot#'!$A:$AL,28,FALSE)-4,1)</f>
        <v>V</v>
      </c>
      <c r="AC109" s="90" t="str">
        <f>MID(VLOOKUP($A109,Seqs!$A:$B,2,FALSE),VLOOKUP($A109,'NonXtal_SegEnds_Prot#'!$A:$AL,28,FALSE),1)</f>
        <v>P</v>
      </c>
    </row>
    <row r="110" spans="1:29" s="2" customFormat="1" x14ac:dyDescent="0.2">
      <c r="A110" s="2" t="s">
        <v>335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64" t="str">
        <f>MID(VLOOKUP($A110,Seqs!$A:$B,2,FALSE),VLOOKUP($A110,'NonXtal_SegEnds_Prot#'!A:AL,10,FALSE),1)</f>
        <v>S</v>
      </c>
      <c r="S110" s="90" t="str">
        <f>MID(VLOOKUP($A110,Seqs!$A:$B,2,FALSE),VLOOKUP($A110,'NonXtal_SegEnds_Prot#'!A:AL,10,FALSE)+6,1)</f>
        <v>V</v>
      </c>
      <c r="T110" s="90" t="str">
        <f>MID(VLOOKUP($A110,Seqs!$A:$B,2,FALSE),VLOOKUP($A110,'NonXtal_SegEnds_Prot#'!A:AL,10,FALSE)+7,1)</f>
        <v>V</v>
      </c>
      <c r="U110" s="90" t="str">
        <f>MID(VLOOKUP($A110,Seqs!$A:$B,2,FALSE),VLOOKUP($A110,'NonXtal_SegEnds_Prot#'!A:AL,10,FALSE)+8,1)</f>
        <v>P</v>
      </c>
      <c r="V110" s="90" t="str">
        <f>MID(VLOOKUP($A110,Seqs!$A:$B,2,FALSE),VLOOKUP($A110,'NonXtal_SegEnds_Prot#'!A:AL,10,FALSE)+9,1)</f>
        <v>V</v>
      </c>
      <c r="W110" s="64" t="str">
        <f>MID(VLOOKUP($A110,Seqs!$A:$B,2,FALSE),VLOOKUP($A110,'NonXtal_SegEnds_Prot#'!$A:$AL,22,FALSE)+6,1)</f>
        <v>L</v>
      </c>
      <c r="X110" s="90" t="str">
        <f>MID(VLOOKUP($A110,Seqs!$A:$B,2,FALSE),VLOOKUP($A110,'NonXtal_SegEnds_Prot#'!$A:$AL,22,FALSE)+7,1)</f>
        <v>T</v>
      </c>
      <c r="Y110" s="90" t="str">
        <f>MID(VLOOKUP($A110,Seqs!$A:$B,2,FALSE),VLOOKUP($A110,'NonXtal_SegEnds_Prot#'!$A:$AL,22,FALSE)+8,1)</f>
        <v>L</v>
      </c>
      <c r="Z110" s="90" t="str">
        <f>MID(VLOOKUP($A110,Seqs!$A:$B,2,FALSE),VLOOKUP($A110,'NonXtal_SegEnds_Prot#'!$A:$AL,22,FALSE)+9,1)</f>
        <v>P</v>
      </c>
      <c r="AA110" s="90" t="str">
        <f>MID(VLOOKUP($A110,Seqs!$A:$B,2,FALSE),VLOOKUP($A110,'NonXtal_SegEnds_Prot#'!$A:$AL,22,FALSE)+10,1)</f>
        <v>V</v>
      </c>
      <c r="AB110" s="64" t="str">
        <f>MID(VLOOKUP($A110,Seqs!$A:$B,2,FALSE),VLOOKUP($A110,'NonXtal_SegEnds_Prot#'!$A:$AL,28,FALSE)-4,1)</f>
        <v>C</v>
      </c>
      <c r="AC110" s="90" t="str">
        <f>MID(VLOOKUP($A110,Seqs!$A:$B,2,FALSE),VLOOKUP($A110,'NonXtal_SegEnds_Prot#'!$A:$AL,28,FALSE),1)</f>
        <v>F</v>
      </c>
    </row>
    <row r="111" spans="1:29" s="2" customFormat="1" x14ac:dyDescent="0.2">
      <c r="A111" s="2" t="s">
        <v>358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64" t="str">
        <f>MID(VLOOKUP($A111,Seqs!$A:$B,2,FALSE),VLOOKUP($A111,'NonXtal_SegEnds_Prot#'!A:AL,10,FALSE),1)</f>
        <v>D</v>
      </c>
      <c r="S111" s="90" t="str">
        <f>MID(VLOOKUP($A111,Seqs!$A:$B,2,FALSE),VLOOKUP($A111,'NonXtal_SegEnds_Prot#'!A:AL,10,FALSE)+6,1)</f>
        <v>A</v>
      </c>
      <c r="T111" s="90" t="str">
        <f>MID(VLOOKUP($A111,Seqs!$A:$B,2,FALSE),VLOOKUP($A111,'NonXtal_SegEnds_Prot#'!A:AL,10,FALSE)+7,1)</f>
        <v>L</v>
      </c>
      <c r="U111" s="90" t="str">
        <f>MID(VLOOKUP($A111,Seqs!$A:$B,2,FALSE),VLOOKUP($A111,'NonXtal_SegEnds_Prot#'!A:AL,10,FALSE)+8,1)</f>
        <v>P</v>
      </c>
      <c r="V111" s="90" t="str">
        <f>MID(VLOOKUP($A111,Seqs!$A:$B,2,FALSE),VLOOKUP($A111,'NonXtal_SegEnds_Prot#'!A:AL,10,FALSE)+9,1)</f>
        <v>I</v>
      </c>
      <c r="W111" s="64" t="str">
        <f>MID(VLOOKUP($A111,Seqs!$A:$B,2,FALSE),VLOOKUP($A111,'NonXtal_SegEnds_Prot#'!$A:$AL,22,FALSE)+6,1)</f>
        <v>L</v>
      </c>
      <c r="X111" s="90" t="str">
        <f>MID(VLOOKUP($A111,Seqs!$A:$B,2,FALSE),VLOOKUP($A111,'NonXtal_SegEnds_Prot#'!$A:$AL,22,FALSE)+7,1)</f>
        <v>T</v>
      </c>
      <c r="Y111" s="90" t="str">
        <f>MID(VLOOKUP($A111,Seqs!$A:$B,2,FALSE),VLOOKUP($A111,'NonXtal_SegEnds_Prot#'!$A:$AL,22,FALSE)+8,1)</f>
        <v>I</v>
      </c>
      <c r="Z111" s="90" t="str">
        <f>MID(VLOOKUP($A111,Seqs!$A:$B,2,FALSE),VLOOKUP($A111,'NonXtal_SegEnds_Prot#'!$A:$AL,22,FALSE)+9,1)</f>
        <v>P</v>
      </c>
      <c r="AA111" s="90" t="str">
        <f>MID(VLOOKUP($A111,Seqs!$A:$B,2,FALSE),VLOOKUP($A111,'NonXtal_SegEnds_Prot#'!$A:$AL,22,FALSE)+10,1)</f>
        <v>S</v>
      </c>
      <c r="AB111" s="64" t="str">
        <f>MID(VLOOKUP($A111,Seqs!$A:$B,2,FALSE),VLOOKUP($A111,'NonXtal_SegEnds_Prot#'!$A:$AL,28,FALSE)-4,1)</f>
        <v>G</v>
      </c>
      <c r="AC111" s="90" t="str">
        <f>MID(VLOOKUP($A111,Seqs!$A:$B,2,FALSE),VLOOKUP($A111,'NonXtal_SegEnds_Prot#'!$A:$AL,28,FALSE),1)</f>
        <v>P</v>
      </c>
    </row>
    <row r="112" spans="1:29" s="2" customFormat="1" x14ac:dyDescent="0.2">
      <c r="A112" s="2" t="s">
        <v>359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64" t="str">
        <f>MID(VLOOKUP($A112,Seqs!$A:$B,2,FALSE),VLOOKUP($A112,'NonXtal_SegEnds_Prot#'!A:AL,10,FALSE),1)</f>
        <v>D</v>
      </c>
      <c r="S112" s="90" t="str">
        <f>MID(VLOOKUP($A112,Seqs!$A:$B,2,FALSE),VLOOKUP($A112,'NonXtal_SegEnds_Prot#'!A:AL,10,FALSE)+6,1)</f>
        <v>S</v>
      </c>
      <c r="T112" s="90" t="str">
        <f>MID(VLOOKUP($A112,Seqs!$A:$B,2,FALSE),VLOOKUP($A112,'NonXtal_SegEnds_Prot#'!A:AL,10,FALSE)+7,1)</f>
        <v>L</v>
      </c>
      <c r="U112" s="90" t="str">
        <f>MID(VLOOKUP($A112,Seqs!$A:$B,2,FALSE),VLOOKUP($A112,'NonXtal_SegEnds_Prot#'!A:AL,10,FALSE)+8,1)</f>
        <v>P</v>
      </c>
      <c r="V112" s="90" t="str">
        <f>MID(VLOOKUP($A112,Seqs!$A:$B,2,FALSE),VLOOKUP($A112,'NonXtal_SegEnds_Prot#'!A:AL,10,FALSE)+9,1)</f>
        <v>I</v>
      </c>
      <c r="W112" s="64" t="str">
        <f>MID(VLOOKUP($A112,Seqs!$A:$B,2,FALSE),VLOOKUP($A112,'NonXtal_SegEnds_Prot#'!$A:$AL,22,FALSE)+6,1)</f>
        <v>L</v>
      </c>
      <c r="X112" s="90" t="str">
        <f>MID(VLOOKUP($A112,Seqs!$A:$B,2,FALSE),VLOOKUP($A112,'NonXtal_SegEnds_Prot#'!$A:$AL,22,FALSE)+7,1)</f>
        <v>T</v>
      </c>
      <c r="Y112" s="90" t="str">
        <f>MID(VLOOKUP($A112,Seqs!$A:$B,2,FALSE),VLOOKUP($A112,'NonXtal_SegEnds_Prot#'!$A:$AL,22,FALSE)+8,1)</f>
        <v>V</v>
      </c>
      <c r="Z112" s="90" t="str">
        <f>MID(VLOOKUP($A112,Seqs!$A:$B,2,FALSE),VLOOKUP($A112,'NonXtal_SegEnds_Prot#'!$A:$AL,22,FALSE)+9,1)</f>
        <v>P</v>
      </c>
      <c r="AA112" s="90" t="str">
        <f>MID(VLOOKUP($A112,Seqs!$A:$B,2,FALSE),VLOOKUP($A112,'NonXtal_SegEnds_Prot#'!$A:$AL,22,FALSE)+10,1)</f>
        <v>S</v>
      </c>
      <c r="AB112" s="64" t="str">
        <f>MID(VLOOKUP($A112,Seqs!$A:$B,2,FALSE),VLOOKUP($A112,'NonXtal_SegEnds_Prot#'!$A:$AL,28,FALSE)-4,1)</f>
        <v>G</v>
      </c>
      <c r="AC112" s="90" t="str">
        <f>MID(VLOOKUP($A112,Seqs!$A:$B,2,FALSE),VLOOKUP($A112,'NonXtal_SegEnds_Prot#'!$A:$AL,28,FALSE),1)</f>
        <v>P</v>
      </c>
    </row>
    <row r="113" spans="1:29" s="2" customFormat="1" x14ac:dyDescent="0.2">
      <c r="A113" s="2" t="s">
        <v>369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64" t="str">
        <f>MID(VLOOKUP($A113,Seqs!$A:$B,2,FALSE),VLOOKUP($A113,'NonXtal_SegEnds_Prot#'!A:AL,10,FALSE),1)</f>
        <v>D</v>
      </c>
      <c r="S113" s="90" t="str">
        <f>MID(VLOOKUP($A113,Seqs!$A:$B,2,FALSE),VLOOKUP($A113,'NonXtal_SegEnds_Prot#'!A:AL,10,FALSE)+6,1)</f>
        <v>S</v>
      </c>
      <c r="T113" s="90" t="str">
        <f>MID(VLOOKUP($A113,Seqs!$A:$B,2,FALSE),VLOOKUP($A113,'NonXtal_SegEnds_Prot#'!A:AL,10,FALSE)+7,1)</f>
        <v>F</v>
      </c>
      <c r="U113" s="90" t="str">
        <f>MID(VLOOKUP($A113,Seqs!$A:$B,2,FALSE),VLOOKUP($A113,'NonXtal_SegEnds_Prot#'!A:AL,10,FALSE)+8,1)</f>
        <v>P</v>
      </c>
      <c r="V113" s="90" t="str">
        <f>MID(VLOOKUP($A113,Seqs!$A:$B,2,FALSE),VLOOKUP($A113,'NonXtal_SegEnds_Prot#'!A:AL,10,FALSE)+9,1)</f>
        <v>F</v>
      </c>
      <c r="W113" s="64" t="str">
        <f>MID(VLOOKUP($A113,Seqs!$A:$B,2,FALSE),VLOOKUP($A113,'NonXtal_SegEnds_Prot#'!$A:$AL,22,FALSE)+6,1)</f>
        <v>A</v>
      </c>
      <c r="X113" s="90" t="str">
        <f>MID(VLOOKUP($A113,Seqs!$A:$B,2,FALSE),VLOOKUP($A113,'NonXtal_SegEnds_Prot#'!$A:$AL,22,FALSE)+7,1)</f>
        <v>T</v>
      </c>
      <c r="Y113" s="90" t="str">
        <f>MID(VLOOKUP($A113,Seqs!$A:$B,2,FALSE),VLOOKUP($A113,'NonXtal_SegEnds_Prot#'!$A:$AL,22,FALSE)+8,1)</f>
        <v>I</v>
      </c>
      <c r="Z113" s="90" t="str">
        <f>MID(VLOOKUP($A113,Seqs!$A:$B,2,FALSE),VLOOKUP($A113,'NonXtal_SegEnds_Prot#'!$A:$AL,22,FALSE)+9,1)</f>
        <v>P</v>
      </c>
      <c r="AA113" s="90" t="str">
        <f>MID(VLOOKUP($A113,Seqs!$A:$B,2,FALSE),VLOOKUP($A113,'NonXtal_SegEnds_Prot#'!$A:$AL,22,FALSE)+10,1)</f>
        <v>L</v>
      </c>
      <c r="AB113" s="64" t="str">
        <f>MID(VLOOKUP($A113,Seqs!$A:$B,2,FALSE),VLOOKUP($A113,'NonXtal_SegEnds_Prot#'!$A:$AL,28,FALSE)-4,1)</f>
        <v>G</v>
      </c>
      <c r="AC113" s="90" t="str">
        <f>MID(VLOOKUP($A113,Seqs!$A:$B,2,FALSE),VLOOKUP($A113,'NonXtal_SegEnds_Prot#'!$A:$AL,28,FALSE),1)</f>
        <v>P</v>
      </c>
    </row>
    <row r="114" spans="1:29" s="2" customFormat="1" x14ac:dyDescent="0.2">
      <c r="A114" s="2" t="s">
        <v>371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64" t="str">
        <f>MID(VLOOKUP($A114,Seqs!$A:$B,2,FALSE),VLOOKUP($A114,'NonXtal_SegEnds_Prot#'!A:AL,10,FALSE),1)</f>
        <v>N</v>
      </c>
      <c r="S114" s="90" t="str">
        <f>MID(VLOOKUP($A114,Seqs!$A:$B,2,FALSE),VLOOKUP($A114,'NonXtal_SegEnds_Prot#'!A:AL,10,FALSE)+6,1)</f>
        <v>T</v>
      </c>
      <c r="T114" s="90" t="str">
        <f>MID(VLOOKUP($A114,Seqs!$A:$B,2,FALSE),VLOOKUP($A114,'NonXtal_SegEnds_Prot#'!A:AL,10,FALSE)+7,1)</f>
        <v>L</v>
      </c>
      <c r="U114" s="90" t="str">
        <f>MID(VLOOKUP($A114,Seqs!$A:$B,2,FALSE),VLOOKUP($A114,'NonXtal_SegEnds_Prot#'!A:AL,10,FALSE)+8,1)</f>
        <v>P</v>
      </c>
      <c r="V114" s="90" t="str">
        <f>MID(VLOOKUP($A114,Seqs!$A:$B,2,FALSE),VLOOKUP($A114,'NonXtal_SegEnds_Prot#'!A:AL,10,FALSE)+9,1)</f>
        <v>F</v>
      </c>
      <c r="W114" s="64" t="str">
        <f>MID(VLOOKUP($A114,Seqs!$A:$B,2,FALSE),VLOOKUP($A114,'NonXtal_SegEnds_Prot#'!$A:$AL,22,FALSE)+6,1)</f>
        <v>A</v>
      </c>
      <c r="X114" s="90" t="str">
        <f>MID(VLOOKUP($A114,Seqs!$A:$B,2,FALSE),VLOOKUP($A114,'NonXtal_SegEnds_Prot#'!$A:$AL,22,FALSE)+7,1)</f>
        <v>T</v>
      </c>
      <c r="Y114" s="90" t="str">
        <f>MID(VLOOKUP($A114,Seqs!$A:$B,2,FALSE),VLOOKUP($A114,'NonXtal_SegEnds_Prot#'!$A:$AL,22,FALSE)+8,1)</f>
        <v>L</v>
      </c>
      <c r="Z114" s="90" t="str">
        <f>MID(VLOOKUP($A114,Seqs!$A:$B,2,FALSE),VLOOKUP($A114,'NonXtal_SegEnds_Prot#'!$A:$AL,22,FALSE)+9,1)</f>
        <v>P</v>
      </c>
      <c r="AA114" s="90" t="str">
        <f>MID(VLOOKUP($A114,Seqs!$A:$B,2,FALSE),VLOOKUP($A114,'NonXtal_SegEnds_Prot#'!$A:$AL,22,FALSE)+10,1)</f>
        <v>E</v>
      </c>
      <c r="AB114" s="64" t="str">
        <f>MID(VLOOKUP($A114,Seqs!$A:$B,2,FALSE),VLOOKUP($A114,'NonXtal_SegEnds_Prot#'!$A:$AL,28,FALSE)-4,1)</f>
        <v>V</v>
      </c>
      <c r="AC114" s="90" t="str">
        <f>MID(VLOOKUP($A114,Seqs!$A:$B,2,FALSE),VLOOKUP($A114,'NonXtal_SegEnds_Prot#'!$A:$AL,28,FALSE),1)</f>
        <v>P</v>
      </c>
    </row>
    <row r="115" spans="1:29" s="2" customFormat="1" x14ac:dyDescent="0.2">
      <c r="A115" s="2" t="s">
        <v>1390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64" t="str">
        <f>MID(VLOOKUP($A115,Seqs!$A:$B,2,FALSE),VLOOKUP($A115,'NonXtal_SegEnds_Prot#'!A:AL,10,FALSE),1)</f>
        <v>D</v>
      </c>
      <c r="S115" s="90" t="str">
        <f>MID(VLOOKUP($A115,Seqs!$A:$B,2,FALSE),VLOOKUP($A115,'NonXtal_SegEnds_Prot#'!A:AL,10,FALSE)+6,1)</f>
        <v>T</v>
      </c>
      <c r="T115" s="90" t="str">
        <f>MID(VLOOKUP($A115,Seqs!$A:$B,2,FALSE),VLOOKUP($A115,'NonXtal_SegEnds_Prot#'!A:AL,10,FALSE)+7,1)</f>
        <v>L</v>
      </c>
      <c r="U115" s="90" t="str">
        <f>MID(VLOOKUP($A115,Seqs!$A:$B,2,FALSE),VLOOKUP($A115,'NonXtal_SegEnds_Prot#'!A:AL,10,FALSE)+8,1)</f>
        <v>P</v>
      </c>
      <c r="V115" s="90" t="str">
        <f>MID(VLOOKUP($A115,Seqs!$A:$B,2,FALSE),VLOOKUP($A115,'NonXtal_SegEnds_Prot#'!A:AL,10,FALSE)+9,1)</f>
        <v>F</v>
      </c>
      <c r="W115" s="64" t="str">
        <f>MID(VLOOKUP($A115,Seqs!$A:$B,2,FALSE),VLOOKUP($A115,'NonXtal_SegEnds_Prot#'!$A:$AL,22,FALSE)+6,1)</f>
        <v>L</v>
      </c>
      <c r="X115" s="90" t="str">
        <f>MID(VLOOKUP($A115,Seqs!$A:$B,2,FALSE),VLOOKUP($A115,'NonXtal_SegEnds_Prot#'!$A:$AL,22,FALSE)+7,1)</f>
        <v>T</v>
      </c>
      <c r="Y115" s="90" t="str">
        <f>MID(VLOOKUP($A115,Seqs!$A:$B,2,FALSE),VLOOKUP($A115,'NonXtal_SegEnds_Prot#'!$A:$AL,22,FALSE)+8,1)</f>
        <v>I</v>
      </c>
      <c r="Z115" s="90" t="str">
        <f>MID(VLOOKUP($A115,Seqs!$A:$B,2,FALSE),VLOOKUP($A115,'NonXtal_SegEnds_Prot#'!$A:$AL,22,FALSE)+9,1)</f>
        <v>P</v>
      </c>
      <c r="AA115" s="90" t="str">
        <f>MID(VLOOKUP($A115,Seqs!$A:$B,2,FALSE),VLOOKUP($A115,'NonXtal_SegEnds_Prot#'!$A:$AL,22,FALSE)+10,1)</f>
        <v>D</v>
      </c>
      <c r="AB115" s="64" t="str">
        <f>MID(VLOOKUP($A115,Seqs!$A:$B,2,FALSE),VLOOKUP($A115,'NonXtal_SegEnds_Prot#'!$A:$AL,28,FALSE)-4,1)</f>
        <v>G</v>
      </c>
      <c r="AC115" s="90" t="str">
        <f>MID(VLOOKUP($A115,Seqs!$A:$B,2,FALSE),VLOOKUP($A115,'NonXtal_SegEnds_Prot#'!$A:$AL,28,FALSE),1)</f>
        <v>P</v>
      </c>
    </row>
    <row r="116" spans="1:29" s="2" customFormat="1" x14ac:dyDescent="0.2">
      <c r="A116" s="2" t="s">
        <v>394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64" t="str">
        <f>MID(VLOOKUP($A116,Seqs!$A:$B,2,FALSE),VLOOKUP($A116,'NonXtal_SegEnds_Prot#'!A:AL,10,FALSE),1)</f>
        <v>D</v>
      </c>
      <c r="S116" s="90" t="str">
        <f>MID(VLOOKUP($A116,Seqs!$A:$B,2,FALSE),VLOOKUP($A116,'NonXtal_SegEnds_Prot#'!A:AL,10,FALSE)+6,1)</f>
        <v>T</v>
      </c>
      <c r="T116" s="90" t="str">
        <f>MID(VLOOKUP($A116,Seqs!$A:$B,2,FALSE),VLOOKUP($A116,'NonXtal_SegEnds_Prot#'!A:AL,10,FALSE)+7,1)</f>
        <v>L</v>
      </c>
      <c r="U116" s="90" t="str">
        <f>MID(VLOOKUP($A116,Seqs!$A:$B,2,FALSE),VLOOKUP($A116,'NonXtal_SegEnds_Prot#'!A:AL,10,FALSE)+8,1)</f>
        <v>P</v>
      </c>
      <c r="V116" s="90" t="str">
        <f>MID(VLOOKUP($A116,Seqs!$A:$B,2,FALSE),VLOOKUP($A116,'NonXtal_SegEnds_Prot#'!A:AL,10,FALSE)+9,1)</f>
        <v>F</v>
      </c>
      <c r="W116" s="64" t="str">
        <f>MID(VLOOKUP($A116,Seqs!$A:$B,2,FALSE),VLOOKUP($A116,'NonXtal_SegEnds_Prot#'!$A:$AL,22,FALSE)+6,1)</f>
        <v>L</v>
      </c>
      <c r="X116" s="90" t="str">
        <f>MID(VLOOKUP($A116,Seqs!$A:$B,2,FALSE),VLOOKUP($A116,'NonXtal_SegEnds_Prot#'!$A:$AL,22,FALSE)+7,1)</f>
        <v>T</v>
      </c>
      <c r="Y116" s="90" t="str">
        <f>MID(VLOOKUP($A116,Seqs!$A:$B,2,FALSE),VLOOKUP($A116,'NonXtal_SegEnds_Prot#'!$A:$AL,22,FALSE)+8,1)</f>
        <v>L</v>
      </c>
      <c r="Z116" s="90" t="str">
        <f>MID(VLOOKUP($A116,Seqs!$A:$B,2,FALSE),VLOOKUP($A116,'NonXtal_SegEnds_Prot#'!$A:$AL,22,FALSE)+9,1)</f>
        <v>P</v>
      </c>
      <c r="AA116" s="90" t="str">
        <f>MID(VLOOKUP($A116,Seqs!$A:$B,2,FALSE),VLOOKUP($A116,'NonXtal_SegEnds_Prot#'!$A:$AL,22,FALSE)+10,1)</f>
        <v>V</v>
      </c>
      <c r="AB116" s="64" t="str">
        <f>MID(VLOOKUP($A116,Seqs!$A:$B,2,FALSE),VLOOKUP($A116,'NonXtal_SegEnds_Prot#'!$A:$AL,28,FALSE)-4,1)</f>
        <v>G</v>
      </c>
      <c r="AC116" s="90" t="str">
        <f>MID(VLOOKUP($A116,Seqs!$A:$B,2,FALSE),VLOOKUP($A116,'NonXtal_SegEnds_Prot#'!$A:$AL,28,FALSE),1)</f>
        <v>P</v>
      </c>
    </row>
    <row r="117" spans="1:29" s="2" customFormat="1" x14ac:dyDescent="0.2">
      <c r="A117" s="2" t="s">
        <v>395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64" t="str">
        <f>MID(VLOOKUP($A117,Seqs!$A:$B,2,FALSE),VLOOKUP($A117,'NonXtal_SegEnds_Prot#'!A:AL,10,FALSE),1)</f>
        <v>D</v>
      </c>
      <c r="S117" s="90" t="str">
        <f>MID(VLOOKUP($A117,Seqs!$A:$B,2,FALSE),VLOOKUP($A117,'NonXtal_SegEnds_Prot#'!A:AL,10,FALSE)+6,1)</f>
        <v>T</v>
      </c>
      <c r="T117" s="90" t="str">
        <f>MID(VLOOKUP($A117,Seqs!$A:$B,2,FALSE),VLOOKUP($A117,'NonXtal_SegEnds_Prot#'!A:AL,10,FALSE)+7,1)</f>
        <v>L</v>
      </c>
      <c r="U117" s="90" t="str">
        <f>MID(VLOOKUP($A117,Seqs!$A:$B,2,FALSE),VLOOKUP($A117,'NonXtal_SegEnds_Prot#'!A:AL,10,FALSE)+8,1)</f>
        <v>P</v>
      </c>
      <c r="V117" s="90" t="str">
        <f>MID(VLOOKUP($A117,Seqs!$A:$B,2,FALSE),VLOOKUP($A117,'NonXtal_SegEnds_Prot#'!A:AL,10,FALSE)+9,1)</f>
        <v>F</v>
      </c>
      <c r="W117" s="64" t="str">
        <f>MID(VLOOKUP($A117,Seqs!$A:$B,2,FALSE),VLOOKUP($A117,'NonXtal_SegEnds_Prot#'!$A:$AL,22,FALSE)+6,1)</f>
        <v>L</v>
      </c>
      <c r="X117" s="90" t="str">
        <f>MID(VLOOKUP($A117,Seqs!$A:$B,2,FALSE),VLOOKUP($A117,'NonXtal_SegEnds_Prot#'!$A:$AL,22,FALSE)+7,1)</f>
        <v>T</v>
      </c>
      <c r="Y117" s="90" t="str">
        <f>MID(VLOOKUP($A117,Seqs!$A:$B,2,FALSE),VLOOKUP($A117,'NonXtal_SegEnds_Prot#'!$A:$AL,22,FALSE)+8,1)</f>
        <v>L</v>
      </c>
      <c r="Z117" s="90" t="str">
        <f>MID(VLOOKUP($A117,Seqs!$A:$B,2,FALSE),VLOOKUP($A117,'NonXtal_SegEnds_Prot#'!$A:$AL,22,FALSE)+9,1)</f>
        <v>P</v>
      </c>
      <c r="AA117" s="90" t="str">
        <f>MID(VLOOKUP($A117,Seqs!$A:$B,2,FALSE),VLOOKUP($A117,'NonXtal_SegEnds_Prot#'!$A:$AL,22,FALSE)+10,1)</f>
        <v>V</v>
      </c>
      <c r="AB117" s="64" t="str">
        <f>MID(VLOOKUP($A117,Seqs!$A:$B,2,FALSE),VLOOKUP($A117,'NonXtal_SegEnds_Prot#'!$A:$AL,28,FALSE)-4,1)</f>
        <v>G</v>
      </c>
      <c r="AC117" s="90" t="str">
        <f>MID(VLOOKUP($A117,Seqs!$A:$B,2,FALSE),VLOOKUP($A117,'NonXtal_SegEnds_Prot#'!$A:$AL,28,FALSE),1)</f>
        <v>P</v>
      </c>
    </row>
    <row r="118" spans="1:29" s="2" customFormat="1" x14ac:dyDescent="0.2">
      <c r="A118" s="2" t="s">
        <v>396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64" t="str">
        <f>MID(VLOOKUP($A118,Seqs!$A:$B,2,FALSE),VLOOKUP($A118,'NonXtal_SegEnds_Prot#'!A:AL,10,FALSE),1)</f>
        <v>D</v>
      </c>
      <c r="S118" s="90" t="str">
        <f>MID(VLOOKUP($A118,Seqs!$A:$B,2,FALSE),VLOOKUP($A118,'NonXtal_SegEnds_Prot#'!A:AL,10,FALSE)+6,1)</f>
        <v>I</v>
      </c>
      <c r="T118" s="90" t="str">
        <f>MID(VLOOKUP($A118,Seqs!$A:$B,2,FALSE),VLOOKUP($A118,'NonXtal_SegEnds_Prot#'!A:AL,10,FALSE)+7,1)</f>
        <v>L</v>
      </c>
      <c r="U118" s="90" t="str">
        <f>MID(VLOOKUP($A118,Seqs!$A:$B,2,FALSE),VLOOKUP($A118,'NonXtal_SegEnds_Prot#'!A:AL,10,FALSE)+8,1)</f>
        <v>P</v>
      </c>
      <c r="V118" s="90" t="str">
        <f>MID(VLOOKUP($A118,Seqs!$A:$B,2,FALSE),VLOOKUP($A118,'NonXtal_SegEnds_Prot#'!A:AL,10,FALSE)+9,1)</f>
        <v>F</v>
      </c>
      <c r="W118" s="64" t="str">
        <f>MID(VLOOKUP($A118,Seqs!$A:$B,2,FALSE),VLOOKUP($A118,'NonXtal_SegEnds_Prot#'!$A:$AL,22,FALSE)+6,1)</f>
        <v>L</v>
      </c>
      <c r="X118" s="90" t="str">
        <f>MID(VLOOKUP($A118,Seqs!$A:$B,2,FALSE),VLOOKUP($A118,'NonXtal_SegEnds_Prot#'!$A:$AL,22,FALSE)+7,1)</f>
        <v>T</v>
      </c>
      <c r="Y118" s="90" t="str">
        <f>MID(VLOOKUP($A118,Seqs!$A:$B,2,FALSE),VLOOKUP($A118,'NonXtal_SegEnds_Prot#'!$A:$AL,22,FALSE)+8,1)</f>
        <v>L</v>
      </c>
      <c r="Z118" s="90" t="str">
        <f>MID(VLOOKUP($A118,Seqs!$A:$B,2,FALSE),VLOOKUP($A118,'NonXtal_SegEnds_Prot#'!$A:$AL,22,FALSE)+9,1)</f>
        <v>P</v>
      </c>
      <c r="AA118" s="90" t="str">
        <f>MID(VLOOKUP($A118,Seqs!$A:$B,2,FALSE),VLOOKUP($A118,'NonXtal_SegEnds_Prot#'!$A:$AL,22,FALSE)+10,1)</f>
        <v>N</v>
      </c>
      <c r="AB118" s="64" t="str">
        <f>MID(VLOOKUP($A118,Seqs!$A:$B,2,FALSE),VLOOKUP($A118,'NonXtal_SegEnds_Prot#'!$A:$AL,28,FALSE)-4,1)</f>
        <v>G</v>
      </c>
      <c r="AC118" s="90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427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64" t="str">
        <f>MID(VLOOKUP($A119,Seqs!$A:$B,2,FALSE),VLOOKUP($A119,'NonXtal_SegEnds_Prot#'!A:AL,10,FALSE),1)</f>
        <v>D</v>
      </c>
      <c r="S119" s="90" t="str">
        <f>MID(VLOOKUP($A119,Seqs!$A:$B,2,FALSE),VLOOKUP($A119,'NonXtal_SegEnds_Prot#'!A:AL,10,FALSE)+6,1)</f>
        <v>A</v>
      </c>
      <c r="T119" s="90" t="str">
        <f>MID(VLOOKUP($A119,Seqs!$A:$B,2,FALSE),VLOOKUP($A119,'NonXtal_SegEnds_Prot#'!A:AL,10,FALSE)+7,1)</f>
        <v>L</v>
      </c>
      <c r="U119" s="90" t="str">
        <f>MID(VLOOKUP($A119,Seqs!$A:$B,2,FALSE),VLOOKUP($A119,'NonXtal_SegEnds_Prot#'!A:AL,10,FALSE)+8,1)</f>
        <v>P</v>
      </c>
      <c r="V119" s="90" t="str">
        <f>MID(VLOOKUP($A119,Seqs!$A:$B,2,FALSE),VLOOKUP($A119,'NonXtal_SegEnds_Prot#'!A:AL,10,FALSE)+9,1)</f>
        <v>T</v>
      </c>
      <c r="W119" s="64" t="str">
        <f>MID(VLOOKUP($A119,Seqs!$A:$B,2,FALSE),VLOOKUP($A119,'NonXtal_SegEnds_Prot#'!$A:$AL,22,FALSE)+6,1)</f>
        <v>Q</v>
      </c>
      <c r="X119" s="90" t="str">
        <f>MID(VLOOKUP($A119,Seqs!$A:$B,2,FALSE),VLOOKUP($A119,'NonXtal_SegEnds_Prot#'!$A:$AL,22,FALSE)+7,1)</f>
        <v>T</v>
      </c>
      <c r="Y119" s="90" t="str">
        <f>MID(VLOOKUP($A119,Seqs!$A:$B,2,FALSE),VLOOKUP($A119,'NonXtal_SegEnds_Prot#'!$A:$AL,22,FALSE)+8,1)</f>
        <v>L</v>
      </c>
      <c r="Z119" s="90" t="str">
        <f>MID(VLOOKUP($A119,Seqs!$A:$B,2,FALSE),VLOOKUP($A119,'NonXtal_SegEnds_Prot#'!$A:$AL,22,FALSE)+9,1)</f>
        <v>P</v>
      </c>
      <c r="AA119" s="90" t="str">
        <f>MID(VLOOKUP($A119,Seqs!$A:$B,2,FALSE),VLOOKUP($A119,'NonXtal_SegEnds_Prot#'!$A:$AL,22,FALSE)+10,1)</f>
        <v>L</v>
      </c>
      <c r="AB119" s="64" t="str">
        <f>MID(VLOOKUP($A119,Seqs!$A:$B,2,FALSE),VLOOKUP($A119,'NonXtal_SegEnds_Prot#'!$A:$AL,28,FALSE)-4,1)</f>
        <v>G</v>
      </c>
      <c r="AC119" s="90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434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64" t="str">
        <f>MID(VLOOKUP($A120,Seqs!$A:$B,2,FALSE),VLOOKUP($A120,'NonXtal_SegEnds_Prot#'!A:AL,10,FALSE),1)</f>
        <v>D</v>
      </c>
      <c r="S120" s="90" t="str">
        <f>MID(VLOOKUP($A120,Seqs!$A:$B,2,FALSE),VLOOKUP($A120,'NonXtal_SegEnds_Prot#'!A:AL,10,FALSE)+6,1)</f>
        <v>T</v>
      </c>
      <c r="T120" s="90" t="str">
        <f>MID(VLOOKUP($A120,Seqs!$A:$B,2,FALSE),VLOOKUP($A120,'NonXtal_SegEnds_Prot#'!A:AL,10,FALSE)+7,1)</f>
        <v>L</v>
      </c>
      <c r="U120" s="90" t="str">
        <f>MID(VLOOKUP($A120,Seqs!$A:$B,2,FALSE),VLOOKUP($A120,'NonXtal_SegEnds_Prot#'!A:AL,10,FALSE)+8,1)</f>
        <v>P</v>
      </c>
      <c r="V120" s="90" t="str">
        <f>MID(VLOOKUP($A120,Seqs!$A:$B,2,FALSE),VLOOKUP($A120,'NonXtal_SegEnds_Prot#'!A:AL,10,FALSE)+9,1)</f>
        <v>F</v>
      </c>
      <c r="W120" s="64" t="str">
        <f>MID(VLOOKUP($A120,Seqs!$A:$B,2,FALSE),VLOOKUP($A120,'NonXtal_SegEnds_Prot#'!$A:$AL,22,FALSE)+6,1)</f>
        <v>T</v>
      </c>
      <c r="X120" s="90" t="str">
        <f>MID(VLOOKUP($A120,Seqs!$A:$B,2,FALSE),VLOOKUP($A120,'NonXtal_SegEnds_Prot#'!$A:$AL,22,FALSE)+7,1)</f>
        <v>T</v>
      </c>
      <c r="Y120" s="90" t="str">
        <f>MID(VLOOKUP($A120,Seqs!$A:$B,2,FALSE),VLOOKUP($A120,'NonXtal_SegEnds_Prot#'!$A:$AL,22,FALSE)+8,1)</f>
        <v>T</v>
      </c>
      <c r="Z120" s="90" t="str">
        <f>MID(VLOOKUP($A120,Seqs!$A:$B,2,FALSE),VLOOKUP($A120,'NonXtal_SegEnds_Prot#'!$A:$AL,22,FALSE)+9,1)</f>
        <v>P</v>
      </c>
      <c r="AA120" s="90" t="str">
        <f>MID(VLOOKUP($A120,Seqs!$A:$B,2,FALSE),VLOOKUP($A120,'NonXtal_SegEnds_Prot#'!$A:$AL,22,FALSE)+10,1)</f>
        <v>L</v>
      </c>
      <c r="AB120" s="64" t="str">
        <f>MID(VLOOKUP($A120,Seqs!$A:$B,2,FALSE),VLOOKUP($A120,'NonXtal_SegEnds_Prot#'!$A:$AL,28,FALSE)-4,1)</f>
        <v>F</v>
      </c>
      <c r="AC120" s="90" t="str">
        <f>MID(VLOOKUP($A120,Seqs!$A:$B,2,FALSE),VLOOKUP($A120,'NonXtal_SegEnds_Prot#'!$A:$AL,28,FALSE),1)</f>
        <v>P</v>
      </c>
    </row>
    <row r="121" spans="1:29" s="2" customFormat="1" x14ac:dyDescent="0.2">
      <c r="A121" s="2" t="s">
        <v>443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64" t="str">
        <f>MID(VLOOKUP($A121,Seqs!$A:$B,2,FALSE),VLOOKUP($A121,'NonXtal_SegEnds_Prot#'!A:AL,10,FALSE),1)</f>
        <v>D</v>
      </c>
      <c r="S121" s="90" t="str">
        <f>MID(VLOOKUP($A121,Seqs!$A:$B,2,FALSE),VLOOKUP($A121,'NonXtal_SegEnds_Prot#'!A:AL,10,FALSE)+6,1)</f>
        <v>C</v>
      </c>
      <c r="T121" s="90" t="str">
        <f>MID(VLOOKUP($A121,Seqs!$A:$B,2,FALSE),VLOOKUP($A121,'NonXtal_SegEnds_Prot#'!A:AL,10,FALSE)+7,1)</f>
        <v>L</v>
      </c>
      <c r="U121" s="90" t="str">
        <f>MID(VLOOKUP($A121,Seqs!$A:$B,2,FALSE),VLOOKUP($A121,'NonXtal_SegEnds_Prot#'!A:AL,10,FALSE)+8,1)</f>
        <v>P</v>
      </c>
      <c r="V121" s="90" t="str">
        <f>MID(VLOOKUP($A121,Seqs!$A:$B,2,FALSE),VLOOKUP($A121,'NonXtal_SegEnds_Prot#'!A:AL,10,FALSE)+9,1)</f>
        <v>F</v>
      </c>
      <c r="W121" s="64" t="str">
        <f>MID(VLOOKUP($A121,Seqs!$A:$B,2,FALSE),VLOOKUP($A121,'NonXtal_SegEnds_Prot#'!$A:$AL,22,FALSE)+6,1)</f>
        <v>L</v>
      </c>
      <c r="X121" s="90" t="str">
        <f>MID(VLOOKUP($A121,Seqs!$A:$B,2,FALSE),VLOOKUP($A121,'NonXtal_SegEnds_Prot#'!$A:$AL,22,FALSE)+7,1)</f>
        <v>T</v>
      </c>
      <c r="Y121" s="90" t="str">
        <f>MID(VLOOKUP($A121,Seqs!$A:$B,2,FALSE),VLOOKUP($A121,'NonXtal_SegEnds_Prot#'!$A:$AL,22,FALSE)+8,1)</f>
        <v>C</v>
      </c>
      <c r="Z121" s="90" t="str">
        <f>MID(VLOOKUP($A121,Seqs!$A:$B,2,FALSE),VLOOKUP($A121,'NonXtal_SegEnds_Prot#'!$A:$AL,22,FALSE)+9,1)</f>
        <v>P</v>
      </c>
      <c r="AA121" s="90" t="str">
        <f>MID(VLOOKUP($A121,Seqs!$A:$B,2,FALSE),VLOOKUP($A121,'NonXtal_SegEnds_Prot#'!$A:$AL,22,FALSE)+10,1)</f>
        <v>G</v>
      </c>
      <c r="AB121" s="64" t="str">
        <f>MID(VLOOKUP($A121,Seqs!$A:$B,2,FALSE),VLOOKUP($A121,'NonXtal_SegEnds_Prot#'!$A:$AL,28,FALSE)-4,1)</f>
        <v>Q</v>
      </c>
      <c r="AC121" s="90" t="str">
        <f>MID(VLOOKUP($A121,Seqs!$A:$B,2,FALSE),VLOOKUP($A121,'NonXtal_SegEnds_Prot#'!$A:$AL,28,FALSE),1)</f>
        <v>P</v>
      </c>
    </row>
    <row r="122" spans="1:29" s="2" customFormat="1" x14ac:dyDescent="0.2">
      <c r="A122" s="2" t="s">
        <v>549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1553</v>
      </c>
      <c r="P122" s="4" t="s">
        <v>51</v>
      </c>
      <c r="R122" s="64" t="str">
        <f>MID(VLOOKUP($A122,Seqs!$A:$B,2,FALSE),VLOOKUP($A122,'NonXtal_SegEnds_Prot#'!A:AL,10,FALSE),1)</f>
        <v>D</v>
      </c>
      <c r="S122" s="90" t="str">
        <f>MID(VLOOKUP($A122,Seqs!$A:$B,2,FALSE),VLOOKUP($A122,'NonXtal_SegEnds_Prot#'!A:AL,10,FALSE)+6,1)</f>
        <v>W</v>
      </c>
      <c r="T122" s="90" t="str">
        <f>MID(VLOOKUP($A122,Seqs!$A:$B,2,FALSE),VLOOKUP($A122,'NonXtal_SegEnds_Prot#'!A:AL,10,FALSE)+7,1)</f>
        <v>F</v>
      </c>
      <c r="U122" s="90" t="str">
        <f>MID(VLOOKUP($A122,Seqs!$A:$B,2,FALSE),VLOOKUP($A122,'NonXtal_SegEnds_Prot#'!A:AL,10,FALSE)+8,1)</f>
        <v>P</v>
      </c>
      <c r="V122" s="90" t="str">
        <f>MID(VLOOKUP($A122,Seqs!$A:$B,2,FALSE),VLOOKUP($A122,'NonXtal_SegEnds_Prot#'!A:AL,10,FALSE)+9,1)</f>
        <v>L</v>
      </c>
      <c r="W122" s="64" t="str">
        <f>MID(VLOOKUP($A122,Seqs!$A:$B,2,FALSE),VLOOKUP($A122,'NonXtal_SegEnds_Prot#'!$A:$AL,22,FALSE)+6,1)</f>
        <v>V</v>
      </c>
      <c r="X122" s="90" t="str">
        <f>MID(VLOOKUP($A122,Seqs!$A:$B,2,FALSE),VLOOKUP($A122,'NonXtal_SegEnds_Prot#'!$A:$AL,22,FALSE)+7,1)</f>
        <v>T</v>
      </c>
      <c r="Y122" s="90" t="str">
        <f>MID(VLOOKUP($A122,Seqs!$A:$B,2,FALSE),VLOOKUP($A122,'NonXtal_SegEnds_Prot#'!$A:$AL,22,FALSE)+8,1)</f>
        <v>I</v>
      </c>
      <c r="Z122" s="90" t="str">
        <f>MID(VLOOKUP($A122,Seqs!$A:$B,2,FALSE),VLOOKUP($A122,'NonXtal_SegEnds_Prot#'!$A:$AL,22,FALSE)+9,1)</f>
        <v>P</v>
      </c>
      <c r="AA122" s="90" t="str">
        <f>MID(VLOOKUP($A122,Seqs!$A:$B,2,FALSE),VLOOKUP($A122,'NonXtal_SegEnds_Prot#'!$A:$AL,22,FALSE)+10,1)</f>
        <v>L</v>
      </c>
      <c r="AB122" s="64" t="str">
        <f>MID(VLOOKUP($A122,Seqs!$A:$B,2,FALSE),VLOOKUP($A122,'NonXtal_SegEnds_Prot#'!$A:$AL,28,FALSE)-4,1)</f>
        <v>V</v>
      </c>
      <c r="AC122" s="90" t="str">
        <f>MID(VLOOKUP($A122,Seqs!$A:$B,2,FALSE),VLOOKUP($A122,'NonXtal_SegEnds_Prot#'!$A:$AL,28,FALSE),1)</f>
        <v>P</v>
      </c>
    </row>
    <row r="123" spans="1:29" s="2" customFormat="1" x14ac:dyDescent="0.2">
      <c r="A123" s="2" t="s">
        <v>553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64" t="str">
        <f>MID(VLOOKUP($A123,Seqs!$A:$B,2,FALSE),VLOOKUP($A123,'NonXtal_SegEnds_Prot#'!A:AL,10,FALSE),1)</f>
        <v>D</v>
      </c>
      <c r="S123" s="90" t="str">
        <f>MID(VLOOKUP($A123,Seqs!$A:$B,2,FALSE),VLOOKUP($A123,'NonXtal_SegEnds_Prot#'!A:AL,10,FALSE)+6,1)</f>
        <v>S</v>
      </c>
      <c r="T123" s="90" t="str">
        <f>MID(VLOOKUP($A123,Seqs!$A:$B,2,FALSE),VLOOKUP($A123,'NonXtal_SegEnds_Prot#'!A:AL,10,FALSE)+7,1)</f>
        <v>L</v>
      </c>
      <c r="U123" s="90" t="str">
        <f>MID(VLOOKUP($A123,Seqs!$A:$B,2,FALSE),VLOOKUP($A123,'NonXtal_SegEnds_Prot#'!A:AL,10,FALSE)+8,1)</f>
        <v>P</v>
      </c>
      <c r="V123" s="90" t="str">
        <f>MID(VLOOKUP($A123,Seqs!$A:$B,2,FALSE),VLOOKUP($A123,'NonXtal_SegEnds_Prot#'!A:AL,10,FALSE)+9,1)</f>
        <v>F</v>
      </c>
      <c r="W123" s="64" t="str">
        <f>MID(VLOOKUP($A123,Seqs!$A:$B,2,FALSE),VLOOKUP($A123,'NonXtal_SegEnds_Prot#'!$A:$AL,22,FALSE)+6,1)</f>
        <v>N</v>
      </c>
      <c r="X123" s="90" t="str">
        <f>MID(VLOOKUP($A123,Seqs!$A:$B,2,FALSE),VLOOKUP($A123,'NonXtal_SegEnds_Prot#'!$A:$AL,22,FALSE)+7,1)</f>
        <v>T</v>
      </c>
      <c r="Y123" s="90" t="str">
        <f>MID(VLOOKUP($A123,Seqs!$A:$B,2,FALSE),VLOOKUP($A123,'NonXtal_SegEnds_Prot#'!$A:$AL,22,FALSE)+8,1)</f>
        <v>V</v>
      </c>
      <c r="Z123" s="90" t="str">
        <f>MID(VLOOKUP($A123,Seqs!$A:$B,2,FALSE),VLOOKUP($A123,'NonXtal_SegEnds_Prot#'!$A:$AL,22,FALSE)+9,1)</f>
        <v>P</v>
      </c>
      <c r="AA123" s="90" t="str">
        <f>MID(VLOOKUP($A123,Seqs!$A:$B,2,FALSE),VLOOKUP($A123,'NonXtal_SegEnds_Prot#'!$A:$AL,22,FALSE)+10,1)</f>
        <v>Y</v>
      </c>
      <c r="AB123" s="64" t="str">
        <f>MID(VLOOKUP($A123,Seqs!$A:$B,2,FALSE),VLOOKUP($A123,'NonXtal_SegEnds_Prot#'!$A:$AL,28,FALSE)-4,1)</f>
        <v>A</v>
      </c>
      <c r="AC123" s="90" t="str">
        <f>MID(VLOOKUP($A123,Seqs!$A:$B,2,FALSE),VLOOKUP($A123,'NonXtal_SegEnds_Prot#'!$A:$AL,28,FALSE),1)</f>
        <v>P</v>
      </c>
    </row>
    <row r="124" spans="1:29" s="2" customFormat="1" x14ac:dyDescent="0.2">
      <c r="A124" s="2" t="s">
        <v>567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64" t="str">
        <f>MID(VLOOKUP($A124,Seqs!$A:$B,2,FALSE),VLOOKUP($A124,'NonXtal_SegEnds_Prot#'!A:AL,10,FALSE),1)</f>
        <v>D</v>
      </c>
      <c r="S124" s="90" t="str">
        <f>MID(VLOOKUP($A124,Seqs!$A:$B,2,FALSE),VLOOKUP($A124,'NonXtal_SegEnds_Prot#'!A:AL,10,FALSE)+6,1)</f>
        <v>T</v>
      </c>
      <c r="T124" s="90" t="str">
        <f>MID(VLOOKUP($A124,Seqs!$A:$B,2,FALSE),VLOOKUP($A124,'NonXtal_SegEnds_Prot#'!A:AL,10,FALSE)+7,1)</f>
        <v>L</v>
      </c>
      <c r="U124" s="90" t="str">
        <f>MID(VLOOKUP($A124,Seqs!$A:$B,2,FALSE),VLOOKUP($A124,'NonXtal_SegEnds_Prot#'!A:AL,10,FALSE)+8,1)</f>
        <v>P</v>
      </c>
      <c r="V124" s="90" t="str">
        <f>MID(VLOOKUP($A124,Seqs!$A:$B,2,FALSE),VLOOKUP($A124,'NonXtal_SegEnds_Prot#'!A:AL,10,FALSE)+9,1)</f>
        <v>F</v>
      </c>
      <c r="W124" s="64" t="str">
        <f>MID(VLOOKUP($A124,Seqs!$A:$B,2,FALSE),VLOOKUP($A124,'NonXtal_SegEnds_Prot#'!$A:$AL,22,FALSE)+6,1)</f>
        <v>V</v>
      </c>
      <c r="X124" s="90" t="str">
        <f>MID(VLOOKUP($A124,Seqs!$A:$B,2,FALSE),VLOOKUP($A124,'NonXtal_SegEnds_Prot#'!$A:$AL,22,FALSE)+7,1)</f>
        <v>T</v>
      </c>
      <c r="Y124" s="90" t="str">
        <f>MID(VLOOKUP($A124,Seqs!$A:$B,2,FALSE),VLOOKUP($A124,'NonXtal_SegEnds_Prot#'!$A:$AL,22,FALSE)+8,1)</f>
        <v>V</v>
      </c>
      <c r="Z124" s="90" t="str">
        <f>MID(VLOOKUP($A124,Seqs!$A:$B,2,FALSE),VLOOKUP($A124,'NonXtal_SegEnds_Prot#'!$A:$AL,22,FALSE)+9,1)</f>
        <v>P</v>
      </c>
      <c r="AA124" s="90" t="str">
        <f>MID(VLOOKUP($A124,Seqs!$A:$B,2,FALSE),VLOOKUP($A124,'NonXtal_SegEnds_Prot#'!$A:$AL,22,FALSE)+10,1)</f>
        <v>T</v>
      </c>
      <c r="AB124" s="64" t="str">
        <f>MID(VLOOKUP($A124,Seqs!$A:$B,2,FALSE),VLOOKUP($A124,'NonXtal_SegEnds_Prot#'!$A:$AL,28,FALSE)-4,1)</f>
        <v>A</v>
      </c>
      <c r="AC124" s="90" t="str">
        <f>MID(VLOOKUP($A124,Seqs!$A:$B,2,FALSE),VLOOKUP($A124,'NonXtal_SegEnds_Prot#'!$A:$AL,28,FALSE),1)</f>
        <v>P</v>
      </c>
    </row>
    <row r="125" spans="1:29" s="2" customFormat="1" x14ac:dyDescent="0.2">
      <c r="A125" s="2" t="s">
        <v>577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64" t="str">
        <f>MID(VLOOKUP($A125,Seqs!$A:$B,2,FALSE),VLOOKUP($A125,'NonXtal_SegEnds_Prot#'!A:AL,10,FALSE),1)</f>
        <v>D</v>
      </c>
      <c r="S125" s="90" t="str">
        <f>MID(VLOOKUP($A125,Seqs!$A:$B,2,FALSE),VLOOKUP($A125,'NonXtal_SegEnds_Prot#'!A:AL,10,FALSE)+6,1)</f>
        <v>S</v>
      </c>
      <c r="T125" s="90" t="str">
        <f>MID(VLOOKUP($A125,Seqs!$A:$B,2,FALSE),VLOOKUP($A125,'NonXtal_SegEnds_Prot#'!A:AL,10,FALSE)+7,1)</f>
        <v>V</v>
      </c>
      <c r="U125" s="90" t="str">
        <f>MID(VLOOKUP($A125,Seqs!$A:$B,2,FALSE),VLOOKUP($A125,'NonXtal_SegEnds_Prot#'!A:AL,10,FALSE)+8,1)</f>
        <v>P</v>
      </c>
      <c r="V125" s="90" t="str">
        <f>MID(VLOOKUP($A125,Seqs!$A:$B,2,FALSE),VLOOKUP($A125,'NonXtal_SegEnds_Prot#'!A:AL,10,FALSE)+9,1)</f>
        <v>F</v>
      </c>
      <c r="W125" s="64" t="str">
        <f>MID(VLOOKUP($A125,Seqs!$A:$B,2,FALSE),VLOOKUP($A125,'NonXtal_SegEnds_Prot#'!$A:$AL,22,FALSE)+6,1)</f>
        <v>V</v>
      </c>
      <c r="X125" s="90" t="str">
        <f>MID(VLOOKUP($A125,Seqs!$A:$B,2,FALSE),VLOOKUP($A125,'NonXtal_SegEnds_Prot#'!$A:$AL,22,FALSE)+7,1)</f>
        <v>T</v>
      </c>
      <c r="Y125" s="90" t="str">
        <f>MID(VLOOKUP($A125,Seqs!$A:$B,2,FALSE),VLOOKUP($A125,'NonXtal_SegEnds_Prot#'!$A:$AL,22,FALSE)+8,1)</f>
        <v>L</v>
      </c>
      <c r="Z125" s="90" t="str">
        <f>MID(VLOOKUP($A125,Seqs!$A:$B,2,FALSE),VLOOKUP($A125,'NonXtal_SegEnds_Prot#'!$A:$AL,22,FALSE)+9,1)</f>
        <v>P</v>
      </c>
      <c r="AA125" s="90" t="str">
        <f>MID(VLOOKUP($A125,Seqs!$A:$B,2,FALSE),VLOOKUP($A125,'NonXtal_SegEnds_Prot#'!$A:$AL,22,FALSE)+10,1)</f>
        <v>I</v>
      </c>
      <c r="AB125" s="64" t="str">
        <f>MID(VLOOKUP($A125,Seqs!$A:$B,2,FALSE),VLOOKUP($A125,'NonXtal_SegEnds_Prot#'!$A:$AL,28,FALSE)-4,1)</f>
        <v>G</v>
      </c>
      <c r="AC125" s="90" t="str">
        <f>MID(VLOOKUP($A125,Seqs!$A:$B,2,FALSE),VLOOKUP($A125,'NonXtal_SegEnds_Prot#'!$A:$AL,28,FALSE),1)</f>
        <v>P</v>
      </c>
    </row>
    <row r="126" spans="1:29" s="2" customFormat="1" x14ac:dyDescent="0.2">
      <c r="A126" s="2" t="s">
        <v>589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64" t="str">
        <f>MID(VLOOKUP($A126,Seqs!$A:$B,2,FALSE),VLOOKUP($A126,'NonXtal_SegEnds_Prot#'!A:AL,10,FALSE),1)</f>
        <v>D</v>
      </c>
      <c r="S126" s="90" t="str">
        <f>MID(VLOOKUP($A126,Seqs!$A:$B,2,FALSE),VLOOKUP($A126,'NonXtal_SegEnds_Prot#'!A:AL,10,FALSE)+6,1)</f>
        <v>S</v>
      </c>
      <c r="T126" s="90" t="str">
        <f>MID(VLOOKUP($A126,Seqs!$A:$B,2,FALSE),VLOOKUP($A126,'NonXtal_SegEnds_Prot#'!A:AL,10,FALSE)+7,1)</f>
        <v>I</v>
      </c>
      <c r="U126" s="90" t="str">
        <f>MID(VLOOKUP($A126,Seqs!$A:$B,2,FALSE),VLOOKUP($A126,'NonXtal_SegEnds_Prot#'!A:AL,10,FALSE)+8,1)</f>
        <v>P</v>
      </c>
      <c r="V126" s="90" t="str">
        <f>MID(VLOOKUP($A126,Seqs!$A:$B,2,FALSE),VLOOKUP($A126,'NonXtal_SegEnds_Prot#'!A:AL,10,FALSE)+9,1)</f>
        <v>F</v>
      </c>
      <c r="W126" s="64" t="str">
        <f>MID(VLOOKUP($A126,Seqs!$A:$B,2,FALSE),VLOOKUP($A126,'NonXtal_SegEnds_Prot#'!$A:$AL,22,FALSE)+6,1)</f>
        <v>L</v>
      </c>
      <c r="X126" s="90" t="str">
        <f>MID(VLOOKUP($A126,Seqs!$A:$B,2,FALSE),VLOOKUP($A126,'NonXtal_SegEnds_Prot#'!$A:$AL,22,FALSE)+7,1)</f>
        <v>T</v>
      </c>
      <c r="Y126" s="90" t="str">
        <f>MID(VLOOKUP($A126,Seqs!$A:$B,2,FALSE),VLOOKUP($A126,'NonXtal_SegEnds_Prot#'!$A:$AL,22,FALSE)+8,1)</f>
        <v>L</v>
      </c>
      <c r="Z126" s="90" t="str">
        <f>MID(VLOOKUP($A126,Seqs!$A:$B,2,FALSE),VLOOKUP($A126,'NonXtal_SegEnds_Prot#'!$A:$AL,22,FALSE)+9,1)</f>
        <v>P</v>
      </c>
      <c r="AA126" s="90" t="str">
        <f>MID(VLOOKUP($A126,Seqs!$A:$B,2,FALSE),VLOOKUP($A126,'NonXtal_SegEnds_Prot#'!$A:$AL,22,FALSE)+10,1)</f>
        <v>V</v>
      </c>
      <c r="AB126" s="64" t="str">
        <f>MID(VLOOKUP($A126,Seqs!$A:$B,2,FALSE),VLOOKUP($A126,'NonXtal_SegEnds_Prot#'!$A:$AL,28,FALSE)-4,1)</f>
        <v>S</v>
      </c>
      <c r="AC126" s="90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410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64" t="str">
        <f>MID(VLOOKUP($A127,Seqs!$A:$B,2,FALSE),VLOOKUP($A127,'NonXtal_SegEnds_Prot#'!A:AL,10,FALSE),1)</f>
        <v>H</v>
      </c>
      <c r="S127" s="90" t="str">
        <f>MID(VLOOKUP($A127,Seqs!$A:$B,2,FALSE),VLOOKUP($A127,'NonXtal_SegEnds_Prot#'!A:AL,10,FALSE)+6,1)</f>
        <v>T</v>
      </c>
      <c r="T127" s="90" t="str">
        <f>MID(VLOOKUP($A127,Seqs!$A:$B,2,FALSE),VLOOKUP($A127,'NonXtal_SegEnds_Prot#'!A:AL,10,FALSE)+7,1)</f>
        <v>V</v>
      </c>
      <c r="U127" s="90" t="str">
        <f>MID(VLOOKUP($A127,Seqs!$A:$B,2,FALSE),VLOOKUP($A127,'NonXtal_SegEnds_Prot#'!A:AL,10,FALSE)+8,1)</f>
        <v>P</v>
      </c>
      <c r="V127" s="90" t="str">
        <f>MID(VLOOKUP($A127,Seqs!$A:$B,2,FALSE),VLOOKUP($A127,'NonXtal_SegEnds_Prot#'!A:AL,10,FALSE)+9,1)</f>
        <v>F</v>
      </c>
      <c r="W127" s="64" t="str">
        <f>MID(VLOOKUP($A127,Seqs!$A:$B,2,FALSE),VLOOKUP($A127,'NonXtal_SegEnds_Prot#'!$A:$AL,22,FALSE)+6,1)</f>
        <v>I</v>
      </c>
      <c r="X127" s="90" t="str">
        <f>MID(VLOOKUP($A127,Seqs!$A:$B,2,FALSE),VLOOKUP($A127,'NonXtal_SegEnds_Prot#'!$A:$AL,22,FALSE)+7,1)</f>
        <v>V</v>
      </c>
      <c r="Y127" s="90" t="str">
        <f>MID(VLOOKUP($A127,Seqs!$A:$B,2,FALSE),VLOOKUP($A127,'NonXtal_SegEnds_Prot#'!$A:$AL,22,FALSE)+8,1)</f>
        <v>V</v>
      </c>
      <c r="Z127" s="90" t="str">
        <f>MID(VLOOKUP($A127,Seqs!$A:$B,2,FALSE),VLOOKUP($A127,'NonXtal_SegEnds_Prot#'!$A:$AL,22,FALSE)+9,1)</f>
        <v>P</v>
      </c>
      <c r="AA127" s="90" t="str">
        <f>MID(VLOOKUP($A127,Seqs!$A:$B,2,FALSE),VLOOKUP($A127,'NonXtal_SegEnds_Prot#'!$A:$AL,22,FALSE)+10,1)</f>
        <v>L</v>
      </c>
      <c r="AB127" s="64" t="str">
        <f>MID(VLOOKUP($A127,Seqs!$A:$B,2,FALSE),VLOOKUP($A127,'NonXtal_SegEnds_Prot#'!$A:$AL,28,FALSE)-4,1)</f>
        <v>V</v>
      </c>
      <c r="AC127" s="90" t="str">
        <f>MID(VLOOKUP($A127,Seqs!$A:$B,2,FALSE),VLOOKUP($A127,'NonXtal_SegEnds_Prot#'!$A:$AL,28,FALSE),1)</f>
        <v>L</v>
      </c>
    </row>
    <row r="128" spans="1:29" s="2" customFormat="1" x14ac:dyDescent="0.2">
      <c r="A128" s="2" t="s">
        <v>435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64" t="str">
        <f>MID(VLOOKUP($A128,Seqs!$A:$B,2,FALSE),VLOOKUP($A128,'NonXtal_SegEnds_Prot#'!A:AL,10,FALSE),1)</f>
        <v>D</v>
      </c>
      <c r="S128" s="90" t="str">
        <f>MID(VLOOKUP($A128,Seqs!$A:$B,2,FALSE),VLOOKUP($A128,'NonXtal_SegEnds_Prot#'!A:AL,10,FALSE)+6,1)</f>
        <v>A</v>
      </c>
      <c r="T128" s="90" t="str">
        <f>MID(VLOOKUP($A128,Seqs!$A:$B,2,FALSE),VLOOKUP($A128,'NonXtal_SegEnds_Prot#'!A:AL,10,FALSE)+7,1)</f>
        <v>S</v>
      </c>
      <c r="U128" s="90" t="str">
        <f>MID(VLOOKUP($A128,Seqs!$A:$B,2,FALSE),VLOOKUP($A128,'NonXtal_SegEnds_Prot#'!A:AL,10,FALSE)+8,1)</f>
        <v>T</v>
      </c>
      <c r="V128" s="90" t="str">
        <f>MID(VLOOKUP($A128,Seqs!$A:$B,2,FALSE),VLOOKUP($A128,'NonXtal_SegEnds_Prot#'!A:AL,10,FALSE)+9,1)</f>
        <v>P</v>
      </c>
      <c r="W128" s="64" t="str">
        <f>MID(VLOOKUP($A128,Seqs!$A:$B,2,FALSE),VLOOKUP($A128,'NonXtal_SegEnds_Prot#'!$A:$AL,22,FALSE)+6,1)</f>
        <v>F</v>
      </c>
      <c r="X128" s="90" t="str">
        <f>MID(VLOOKUP($A128,Seqs!$A:$B,2,FALSE),VLOOKUP($A128,'NonXtal_SegEnds_Prot#'!$A:$AL,22,FALSE)+7,1)</f>
        <v>V</v>
      </c>
      <c r="Y128" s="90" t="str">
        <f>MID(VLOOKUP($A128,Seqs!$A:$B,2,FALSE),VLOOKUP($A128,'NonXtal_SegEnds_Prot#'!$A:$AL,22,FALSE)+8,1)</f>
        <v>T</v>
      </c>
      <c r="Z128" s="90" t="str">
        <f>MID(VLOOKUP($A128,Seqs!$A:$B,2,FALSE),VLOOKUP($A128,'NonXtal_SegEnds_Prot#'!$A:$AL,22,FALSE)+9,1)</f>
        <v>P</v>
      </c>
      <c r="AA128" s="90" t="str">
        <f>MID(VLOOKUP($A128,Seqs!$A:$B,2,FALSE),VLOOKUP($A128,'NonXtal_SegEnds_Prot#'!$A:$AL,22,FALSE)+10,1)</f>
        <v>V</v>
      </c>
      <c r="AB128" s="64" t="str">
        <f>MID(VLOOKUP($A128,Seqs!$A:$B,2,FALSE),VLOOKUP($A128,'NonXtal_SegEnds_Prot#'!$A:$AL,28,FALSE)-4,1)</f>
        <v>G</v>
      </c>
      <c r="AC128" s="90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471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64" t="str">
        <f>MID(VLOOKUP($A129,Seqs!$A:$B,2,FALSE),VLOOKUP($A129,'NonXtal_SegEnds_Prot#'!A:AL,10,FALSE),1)</f>
        <v>D</v>
      </c>
      <c r="S129" s="90" t="str">
        <f>MID(VLOOKUP($A129,Seqs!$A:$B,2,FALSE),VLOOKUP($A129,'NonXtal_SegEnds_Prot#'!A:AL,10,FALSE)+6,1)</f>
        <v>V</v>
      </c>
      <c r="T129" s="90" t="str">
        <f>MID(VLOOKUP($A129,Seqs!$A:$B,2,FALSE),VLOOKUP($A129,'NonXtal_SegEnds_Prot#'!A:AL,10,FALSE)+7,1)</f>
        <v>V</v>
      </c>
      <c r="U129" s="90" t="str">
        <f>MID(VLOOKUP($A129,Seqs!$A:$B,2,FALSE),VLOOKUP($A129,'NonXtal_SegEnds_Prot#'!A:AL,10,FALSE)+8,1)</f>
        <v>M</v>
      </c>
      <c r="V129" s="90" t="str">
        <f>MID(VLOOKUP($A129,Seqs!$A:$B,2,FALSE),VLOOKUP($A129,'NonXtal_SegEnds_Prot#'!A:AL,10,FALSE)+9,1)</f>
        <v>P</v>
      </c>
      <c r="W129" s="64" t="str">
        <f>MID(VLOOKUP($A129,Seqs!$A:$B,2,FALSE),VLOOKUP($A129,'NonXtal_SegEnds_Prot#'!$A:$AL,22,FALSE)+6,1)</f>
        <v>W</v>
      </c>
      <c r="X129" s="90" t="str">
        <f>MID(VLOOKUP($A129,Seqs!$A:$B,2,FALSE),VLOOKUP($A129,'NonXtal_SegEnds_Prot#'!$A:$AL,22,FALSE)+7,1)</f>
        <v>V</v>
      </c>
      <c r="Y129" s="90" t="str">
        <f>MID(VLOOKUP($A129,Seqs!$A:$B,2,FALSE),VLOOKUP($A129,'NonXtal_SegEnds_Prot#'!$A:$AL,22,FALSE)+8,1)</f>
        <v>I</v>
      </c>
      <c r="Z129" s="90" t="str">
        <f>MID(VLOOKUP($A129,Seqs!$A:$B,2,FALSE),VLOOKUP($A129,'NonXtal_SegEnds_Prot#'!$A:$AL,22,FALSE)+9,1)</f>
        <v>P</v>
      </c>
      <c r="AA129" s="90" t="str">
        <f>MID(VLOOKUP($A129,Seqs!$A:$B,2,FALSE),VLOOKUP($A129,'NonXtal_SegEnds_Prot#'!$A:$AL,22,FALSE)+10,1)</f>
        <v>I</v>
      </c>
      <c r="AB129" s="64" t="str">
        <f>MID(VLOOKUP($A129,Seqs!$A:$B,2,FALSE),VLOOKUP($A129,'NonXtal_SegEnds_Prot#'!$A:$AL,28,FALSE)-4,1)</f>
        <v>N</v>
      </c>
      <c r="AC129" s="90" t="str">
        <f>MID(VLOOKUP($A129,Seqs!$A:$B,2,FALSE),VLOOKUP($A129,'NonXtal_SegEnds_Prot#'!$A:$AL,28,FALSE),1)</f>
        <v>P</v>
      </c>
    </row>
    <row r="130" spans="1:29" s="2" customFormat="1" x14ac:dyDescent="0.2">
      <c r="A130" s="2" t="s">
        <v>504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64" t="str">
        <f>MID(VLOOKUP($A130,Seqs!$A:$B,2,FALSE),VLOOKUP($A130,'NonXtal_SegEnds_Prot#'!A:AL,10,FALSE),1)</f>
        <v>D</v>
      </c>
      <c r="S130" s="90" t="str">
        <f>MID(VLOOKUP($A130,Seqs!$A:$B,2,FALSE),VLOOKUP($A130,'NonXtal_SegEnds_Prot#'!A:AL,10,FALSE)+6,1)</f>
        <v>Y</v>
      </c>
      <c r="T130" s="90" t="str">
        <f>MID(VLOOKUP($A130,Seqs!$A:$B,2,FALSE),VLOOKUP($A130,'NonXtal_SegEnds_Prot#'!A:AL,10,FALSE)+7,1)</f>
        <v>P</v>
      </c>
      <c r="U130" s="90" t="str">
        <f>MID(VLOOKUP($A130,Seqs!$A:$B,2,FALSE),VLOOKUP($A130,'NonXtal_SegEnds_Prot#'!A:AL,10,FALSE)+8,1)</f>
        <v>Y</v>
      </c>
      <c r="V130" s="90" t="str">
        <f>MID(VLOOKUP($A130,Seqs!$A:$B,2,FALSE),VLOOKUP($A130,'NonXtal_SegEnds_Prot#'!A:AL,10,FALSE)+9,1)</f>
        <v>P</v>
      </c>
      <c r="W130" s="64" t="str">
        <f>MID(VLOOKUP($A130,Seqs!$A:$B,2,FALSE),VLOOKUP($A130,'NonXtal_SegEnds_Prot#'!$A:$AL,22,FALSE)+6,1)</f>
        <v>A</v>
      </c>
      <c r="X130" s="90" t="str">
        <f>MID(VLOOKUP($A130,Seqs!$A:$B,2,FALSE),VLOOKUP($A130,'NonXtal_SegEnds_Prot#'!$A:$AL,22,FALSE)+7,1)</f>
        <v>V</v>
      </c>
      <c r="Y130" s="90" t="str">
        <f>MID(VLOOKUP($A130,Seqs!$A:$B,2,FALSE),VLOOKUP($A130,'NonXtal_SegEnds_Prot#'!$A:$AL,22,FALSE)+8,1)</f>
        <v>L</v>
      </c>
      <c r="Z130" s="90" t="str">
        <f>MID(VLOOKUP($A130,Seqs!$A:$B,2,FALSE),VLOOKUP($A130,'NonXtal_SegEnds_Prot#'!$A:$AL,22,FALSE)+9,1)</f>
        <v>P</v>
      </c>
      <c r="AA130" s="90" t="str">
        <f>MID(VLOOKUP($A130,Seqs!$A:$B,2,FALSE),VLOOKUP($A130,'NonXtal_SegEnds_Prot#'!$A:$AL,22,FALSE)+10,1)</f>
        <v>N</v>
      </c>
      <c r="AB130" s="64" t="str">
        <f>MID(VLOOKUP($A130,Seqs!$A:$B,2,FALSE),VLOOKUP($A130,'NonXtal_SegEnds_Prot#'!$A:$AL,28,FALSE)-4,1)</f>
        <v>H</v>
      </c>
      <c r="AC130" s="90" t="str">
        <f>MID(VLOOKUP($A130,Seqs!$A:$B,2,FALSE),VLOOKUP($A130,'NonXtal_SegEnds_Prot#'!$A:$AL,28,FALSE),1)</f>
        <v>P</v>
      </c>
    </row>
    <row r="131" spans="1:29" s="2" customFormat="1" x14ac:dyDescent="0.2">
      <c r="A131" s="2" t="s">
        <v>506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64" t="str">
        <f>MID(VLOOKUP($A131,Seqs!$A:$B,2,FALSE),VLOOKUP($A131,'NonXtal_SegEnds_Prot#'!A:AL,10,FALSE),1)</f>
        <v>D</v>
      </c>
      <c r="S131" s="90" t="str">
        <f>MID(VLOOKUP($A131,Seqs!$A:$B,2,FALSE),VLOOKUP($A131,'NonXtal_SegEnds_Prot#'!A:AL,10,FALSE)+6,1)</f>
        <v>Y</v>
      </c>
      <c r="T131" s="90" t="str">
        <f>MID(VLOOKUP($A131,Seqs!$A:$B,2,FALSE),VLOOKUP($A131,'NonXtal_SegEnds_Prot#'!A:AL,10,FALSE)+7,1)</f>
        <v>P</v>
      </c>
      <c r="U131" s="90" t="str">
        <f>MID(VLOOKUP($A131,Seqs!$A:$B,2,FALSE),VLOOKUP($A131,'NonXtal_SegEnds_Prot#'!A:AL,10,FALSE)+8,1)</f>
        <v>Y</v>
      </c>
      <c r="V131" s="90" t="str">
        <f>MID(VLOOKUP($A131,Seqs!$A:$B,2,FALSE),VLOOKUP($A131,'NonXtal_SegEnds_Prot#'!A:AL,10,FALSE)+9,1)</f>
        <v>P</v>
      </c>
      <c r="W131" s="64" t="str">
        <f>MID(VLOOKUP($A131,Seqs!$A:$B,2,FALSE),VLOOKUP($A131,'NonXtal_SegEnds_Prot#'!$A:$AL,22,FALSE)+6,1)</f>
        <v>A</v>
      </c>
      <c r="X131" s="90" t="str">
        <f>MID(VLOOKUP($A131,Seqs!$A:$B,2,FALSE),VLOOKUP($A131,'NonXtal_SegEnds_Prot#'!$A:$AL,22,FALSE)+7,1)</f>
        <v>V</v>
      </c>
      <c r="Y131" s="90" t="str">
        <f>MID(VLOOKUP($A131,Seqs!$A:$B,2,FALSE),VLOOKUP($A131,'NonXtal_SegEnds_Prot#'!$A:$AL,22,FALSE)+8,1)</f>
        <v>L</v>
      </c>
      <c r="Z131" s="90" t="str">
        <f>MID(VLOOKUP($A131,Seqs!$A:$B,2,FALSE),VLOOKUP($A131,'NonXtal_SegEnds_Prot#'!$A:$AL,22,FALSE)+9,1)</f>
        <v>P</v>
      </c>
      <c r="AA131" s="90" t="str">
        <f>MID(VLOOKUP($A131,Seqs!$A:$B,2,FALSE),VLOOKUP($A131,'NonXtal_SegEnds_Prot#'!$A:$AL,22,FALSE)+10,1)</f>
        <v>N</v>
      </c>
      <c r="AB131" s="64" t="str">
        <f>MID(VLOOKUP($A131,Seqs!$A:$B,2,FALSE),VLOOKUP($A131,'NonXtal_SegEnds_Prot#'!$A:$AL,28,FALSE)-4,1)</f>
        <v>H</v>
      </c>
      <c r="AC131" s="90" t="str">
        <f>MID(VLOOKUP($A131,Seqs!$A:$B,2,FALSE),VLOOKUP($A131,'NonXtal_SegEnds_Prot#'!$A:$AL,28,FALSE),1)</f>
        <v>P</v>
      </c>
    </row>
    <row r="132" spans="1:29" s="2" customFormat="1" x14ac:dyDescent="0.2">
      <c r="A132" s="2" t="s">
        <v>513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64" t="str">
        <f>MID(VLOOKUP($A132,Seqs!$A:$B,2,FALSE),VLOOKUP($A132,'NonXtal_SegEnds_Prot#'!A:AL,10,FALSE),1)</f>
        <v>D</v>
      </c>
      <c r="S132" s="90" t="str">
        <f>MID(VLOOKUP($A132,Seqs!$A:$B,2,FALSE),VLOOKUP($A132,'NonXtal_SegEnds_Prot#'!A:AL,10,FALSE)+6,1)</f>
        <v>V</v>
      </c>
      <c r="T132" s="90" t="str">
        <f>MID(VLOOKUP($A132,Seqs!$A:$B,2,FALSE),VLOOKUP($A132,'NonXtal_SegEnds_Prot#'!A:AL,10,FALSE)+7,1)</f>
        <v>L</v>
      </c>
      <c r="U132" s="90" t="str">
        <f>MID(VLOOKUP($A132,Seqs!$A:$B,2,FALSE),VLOOKUP($A132,'NonXtal_SegEnds_Prot#'!A:AL,10,FALSE)+8,1)</f>
        <v>P</v>
      </c>
      <c r="V132" s="90" t="str">
        <f>MID(VLOOKUP($A132,Seqs!$A:$B,2,FALSE),VLOOKUP($A132,'NonXtal_SegEnds_Prot#'!A:AL,10,FALSE)+9,1)</f>
        <v>I</v>
      </c>
      <c r="W132" s="64" t="str">
        <f>MID(VLOOKUP($A132,Seqs!$A:$B,2,FALSE),VLOOKUP($A132,'NonXtal_SegEnds_Prot#'!$A:$AL,22,FALSE)+6,1)</f>
        <v>V</v>
      </c>
      <c r="X132" s="90" t="str">
        <f>MID(VLOOKUP($A132,Seqs!$A:$B,2,FALSE),VLOOKUP($A132,'NonXtal_SegEnds_Prot#'!$A:$AL,22,FALSE)+7,1)</f>
        <v>V</v>
      </c>
      <c r="Y132" s="90" t="str">
        <f>MID(VLOOKUP($A132,Seqs!$A:$B,2,FALSE),VLOOKUP($A132,'NonXtal_SegEnds_Prot#'!$A:$AL,22,FALSE)+8,1)</f>
        <v>L</v>
      </c>
      <c r="Z132" s="90" t="str">
        <f>MID(VLOOKUP($A132,Seqs!$A:$B,2,FALSE),VLOOKUP($A132,'NonXtal_SegEnds_Prot#'!$A:$AL,22,FALSE)+9,1)</f>
        <v>P</v>
      </c>
      <c r="AA132" s="90" t="str">
        <f>MID(VLOOKUP($A132,Seqs!$A:$B,2,FALSE),VLOOKUP($A132,'NonXtal_SegEnds_Prot#'!$A:$AL,22,FALSE)+10,1)</f>
        <v>F</v>
      </c>
      <c r="AB132" s="64" t="str">
        <f>MID(VLOOKUP($A132,Seqs!$A:$B,2,FALSE),VLOOKUP($A132,'NonXtal_SegEnds_Prot#'!$A:$AL,28,FALSE)-4,1)</f>
        <v>G</v>
      </c>
      <c r="AC132" s="90" t="str">
        <f>MID(VLOOKUP($A132,Seqs!$A:$B,2,FALSE),VLOOKUP($A132,'NonXtal_SegEnds_Prot#'!$A:$AL,28,FALSE),1)</f>
        <v>P</v>
      </c>
    </row>
    <row r="133" spans="1:29" s="2" customFormat="1" x14ac:dyDescent="0.2">
      <c r="A133" s="2" t="s">
        <v>514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64" t="str">
        <f>MID(VLOOKUP($A133,Seqs!$A:$B,2,FALSE),VLOOKUP($A133,'NonXtal_SegEnds_Prot#'!A:AL,10,FALSE),1)</f>
        <v>D</v>
      </c>
      <c r="S133" s="90" t="str">
        <f>MID(VLOOKUP($A133,Seqs!$A:$B,2,FALSE),VLOOKUP($A133,'NonXtal_SegEnds_Prot#'!A:AL,10,FALSE)+6,1)</f>
        <v>V</v>
      </c>
      <c r="T133" s="90" t="str">
        <f>MID(VLOOKUP($A133,Seqs!$A:$B,2,FALSE),VLOOKUP($A133,'NonXtal_SegEnds_Prot#'!A:AL,10,FALSE)+7,1)</f>
        <v>L</v>
      </c>
      <c r="U133" s="90" t="str">
        <f>MID(VLOOKUP($A133,Seqs!$A:$B,2,FALSE),VLOOKUP($A133,'NonXtal_SegEnds_Prot#'!A:AL,10,FALSE)+8,1)</f>
        <v>P</v>
      </c>
      <c r="V133" s="90" t="str">
        <f>MID(VLOOKUP($A133,Seqs!$A:$B,2,FALSE),VLOOKUP($A133,'NonXtal_SegEnds_Prot#'!A:AL,10,FALSE)+9,1)</f>
        <v>V</v>
      </c>
      <c r="W133" s="64" t="str">
        <f>MID(VLOOKUP($A133,Seqs!$A:$B,2,FALSE),VLOOKUP($A133,'NonXtal_SegEnds_Prot#'!$A:$AL,22,FALSE)+6,1)</f>
        <v>L</v>
      </c>
      <c r="X133" s="90" t="str">
        <f>MID(VLOOKUP($A133,Seqs!$A:$B,2,FALSE),VLOOKUP($A133,'NonXtal_SegEnds_Prot#'!$A:$AL,22,FALSE)+7,1)</f>
        <v>V</v>
      </c>
      <c r="Y133" s="90" t="str">
        <f>MID(VLOOKUP($A133,Seqs!$A:$B,2,FALSE),VLOOKUP($A133,'NonXtal_SegEnds_Prot#'!$A:$AL,22,FALSE)+8,1)</f>
        <v>L</v>
      </c>
      <c r="Z133" s="90" t="str">
        <f>MID(VLOOKUP($A133,Seqs!$A:$B,2,FALSE),VLOOKUP($A133,'NonXtal_SegEnds_Prot#'!$A:$AL,22,FALSE)+9,1)</f>
        <v>P</v>
      </c>
      <c r="AA133" s="90" t="str">
        <f>MID(VLOOKUP($A133,Seqs!$A:$B,2,FALSE),VLOOKUP($A133,'NonXtal_SegEnds_Prot#'!$A:$AL,22,FALSE)+10,1)</f>
        <v>F</v>
      </c>
      <c r="AB133" s="64" t="str">
        <f>MID(VLOOKUP($A133,Seqs!$A:$B,2,FALSE),VLOOKUP($A133,'NonXtal_SegEnds_Prot#'!$A:$AL,28,FALSE)-4,1)</f>
        <v>G</v>
      </c>
      <c r="AC133" s="90" t="str">
        <f>MID(VLOOKUP($A133,Seqs!$A:$B,2,FALSE),VLOOKUP($A133,'NonXtal_SegEnds_Prot#'!$A:$AL,28,FALSE),1)</f>
        <v>P</v>
      </c>
    </row>
    <row r="134" spans="1:29" s="2" customFormat="1" x14ac:dyDescent="0.2">
      <c r="A134" s="2" t="s">
        <v>536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64" t="str">
        <f>MID(VLOOKUP($A134,Seqs!$A:$B,2,FALSE),VLOOKUP($A134,'NonXtal_SegEnds_Prot#'!A:AL,10,FALSE),1)</f>
        <v>D</v>
      </c>
      <c r="S134" s="90" t="str">
        <f>MID(VLOOKUP($A134,Seqs!$A:$B,2,FALSE),VLOOKUP($A134,'NonXtal_SegEnds_Prot#'!A:AL,10,FALSE)+6,1)</f>
        <v>S</v>
      </c>
      <c r="T134" s="90" t="str">
        <f>MID(VLOOKUP($A134,Seqs!$A:$B,2,FALSE),VLOOKUP($A134,'NonXtal_SegEnds_Prot#'!A:AL,10,FALSE)+7,1)</f>
        <v>L</v>
      </c>
      <c r="U134" s="90" t="str">
        <f>MID(VLOOKUP($A134,Seqs!$A:$B,2,FALSE),VLOOKUP($A134,'NonXtal_SegEnds_Prot#'!A:AL,10,FALSE)+8,1)</f>
        <v>P</v>
      </c>
      <c r="V134" s="90" t="str">
        <f>MID(VLOOKUP($A134,Seqs!$A:$B,2,FALSE),VLOOKUP($A134,'NonXtal_SegEnds_Prot#'!A:AL,10,FALSE)+9,1)</f>
        <v>F</v>
      </c>
      <c r="W134" s="64" t="str">
        <f>MID(VLOOKUP($A134,Seqs!$A:$B,2,FALSE),VLOOKUP($A134,'NonXtal_SegEnds_Prot#'!$A:$AL,22,FALSE)+6,1)</f>
        <v>A</v>
      </c>
      <c r="X134" s="90" t="str">
        <f>MID(VLOOKUP($A134,Seqs!$A:$B,2,FALSE),VLOOKUP($A134,'NonXtal_SegEnds_Prot#'!$A:$AL,22,FALSE)+7,1)</f>
        <v>V</v>
      </c>
      <c r="Y134" s="90" t="str">
        <f>MID(VLOOKUP($A134,Seqs!$A:$B,2,FALSE),VLOOKUP($A134,'NonXtal_SegEnds_Prot#'!$A:$AL,22,FALSE)+8,1)</f>
        <v>I</v>
      </c>
      <c r="Z134" s="90" t="str">
        <f>MID(VLOOKUP($A134,Seqs!$A:$B,2,FALSE),VLOOKUP($A134,'NonXtal_SegEnds_Prot#'!$A:$AL,22,FALSE)+9,1)</f>
        <v>P</v>
      </c>
      <c r="AA134" s="90" t="str">
        <f>MID(VLOOKUP($A134,Seqs!$A:$B,2,FALSE),VLOOKUP($A134,'NonXtal_SegEnds_Prot#'!$A:$AL,22,FALSE)+10,1)</f>
        <v>M</v>
      </c>
      <c r="AB134" s="64" t="str">
        <f>MID(VLOOKUP($A134,Seqs!$A:$B,2,FALSE),VLOOKUP($A134,'NonXtal_SegEnds_Prot#'!$A:$AL,28,FALSE)-4,1)</f>
        <v>T</v>
      </c>
      <c r="AC134" s="90" t="str">
        <f>MID(VLOOKUP($A134,Seqs!$A:$B,2,FALSE),VLOOKUP($A134,'NonXtal_SegEnds_Prot#'!$A:$AL,28,FALSE),1)</f>
        <v>P</v>
      </c>
    </row>
    <row r="135" spans="1:29" s="2" customFormat="1" x14ac:dyDescent="0.2">
      <c r="A135" s="2" t="s">
        <v>548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1553</v>
      </c>
      <c r="P135" s="4" t="s">
        <v>51</v>
      </c>
      <c r="R135" s="64" t="str">
        <f>MID(VLOOKUP($A135,Seqs!$A:$B,2,FALSE),VLOOKUP($A135,'NonXtal_SegEnds_Prot#'!A:AL,10,FALSE),1)</f>
        <v>D</v>
      </c>
      <c r="S135" s="90" t="str">
        <f>MID(VLOOKUP($A135,Seqs!$A:$B,2,FALSE),VLOOKUP($A135,'NonXtal_SegEnds_Prot#'!A:AL,10,FALSE)+6,1)</f>
        <v>V</v>
      </c>
      <c r="T135" s="90" t="str">
        <f>MID(VLOOKUP($A135,Seqs!$A:$B,2,FALSE),VLOOKUP($A135,'NonXtal_SegEnds_Prot#'!A:AL,10,FALSE)+7,1)</f>
        <v>L</v>
      </c>
      <c r="U135" s="90" t="str">
        <f>MID(VLOOKUP($A135,Seqs!$A:$B,2,FALSE),VLOOKUP($A135,'NonXtal_SegEnds_Prot#'!A:AL,10,FALSE)+8,1)</f>
        <v>P</v>
      </c>
      <c r="V135" s="90" t="str">
        <f>MID(VLOOKUP($A135,Seqs!$A:$B,2,FALSE),VLOOKUP($A135,'NonXtal_SegEnds_Prot#'!A:AL,10,FALSE)+9,1)</f>
        <v>F</v>
      </c>
      <c r="W135" s="64" t="str">
        <f>MID(VLOOKUP($A135,Seqs!$A:$B,2,FALSE),VLOOKUP($A135,'NonXtal_SegEnds_Prot#'!$A:$AL,22,FALSE)+6,1)</f>
        <v>G</v>
      </c>
      <c r="X135" s="90" t="str">
        <f>MID(VLOOKUP($A135,Seqs!$A:$B,2,FALSE),VLOOKUP($A135,'NonXtal_SegEnds_Prot#'!$A:$AL,22,FALSE)+7,1)</f>
        <v>V</v>
      </c>
      <c r="Y135" s="90" t="str">
        <f>MID(VLOOKUP($A135,Seqs!$A:$B,2,FALSE),VLOOKUP($A135,'NonXtal_SegEnds_Prot#'!$A:$AL,22,FALSE)+8,1)</f>
        <v>V</v>
      </c>
      <c r="Z135" s="90" t="str">
        <f>MID(VLOOKUP($A135,Seqs!$A:$B,2,FALSE),VLOOKUP($A135,'NonXtal_SegEnds_Prot#'!$A:$AL,22,FALSE)+9,1)</f>
        <v>P</v>
      </c>
      <c r="AA135" s="90" t="str">
        <f>MID(VLOOKUP($A135,Seqs!$A:$B,2,FALSE),VLOOKUP($A135,'NonXtal_SegEnds_Prot#'!$A:$AL,22,FALSE)+10,1)</f>
        <v>L</v>
      </c>
      <c r="AB135" s="64" t="str">
        <f>MID(VLOOKUP($A135,Seqs!$A:$B,2,FALSE),VLOOKUP($A135,'NonXtal_SegEnds_Prot#'!$A:$AL,28,FALSE)-4,1)</f>
        <v>F</v>
      </c>
      <c r="AC135" s="90" t="str">
        <f>MID(VLOOKUP($A135,Seqs!$A:$B,2,FALSE),VLOOKUP($A135,'NonXtal_SegEnds_Prot#'!$A:$AL,28,FALSE),1)</f>
        <v>P</v>
      </c>
    </row>
    <row r="136" spans="1:29" s="2" customFormat="1" x14ac:dyDescent="0.2">
      <c r="A136" s="2" t="s">
        <v>576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64" t="str">
        <f>MID(VLOOKUP($A136,Seqs!$A:$B,2,FALSE),VLOOKUP($A136,'NonXtal_SegEnds_Prot#'!A:AL,10,FALSE),1)</f>
        <v>D</v>
      </c>
      <c r="S136" s="90" t="str">
        <f>MID(VLOOKUP($A136,Seqs!$A:$B,2,FALSE),VLOOKUP($A136,'NonXtal_SegEnds_Prot#'!A:AL,10,FALSE)+6,1)</f>
        <v>G</v>
      </c>
      <c r="T136" s="90" t="str">
        <f>MID(VLOOKUP($A136,Seqs!$A:$B,2,FALSE),VLOOKUP($A136,'NonXtal_SegEnds_Prot#'!A:AL,10,FALSE)+7,1)</f>
        <v>L</v>
      </c>
      <c r="U136" s="90" t="str">
        <f>MID(VLOOKUP($A136,Seqs!$A:$B,2,FALSE),VLOOKUP($A136,'NonXtal_SegEnds_Prot#'!A:AL,10,FALSE)+8,1)</f>
        <v>P</v>
      </c>
      <c r="V136" s="90" t="str">
        <f>MID(VLOOKUP($A136,Seqs!$A:$B,2,FALSE),VLOOKUP($A136,'NonXtal_SegEnds_Prot#'!A:AL,10,FALSE)+9,1)</f>
        <v>F</v>
      </c>
      <c r="W136" s="64" t="str">
        <f>MID(VLOOKUP($A136,Seqs!$A:$B,2,FALSE),VLOOKUP($A136,'NonXtal_SegEnds_Prot#'!$A:$AL,22,FALSE)+6,1)</f>
        <v>V</v>
      </c>
      <c r="X136" s="90" t="str">
        <f>MID(VLOOKUP($A136,Seqs!$A:$B,2,FALSE),VLOOKUP($A136,'NonXtal_SegEnds_Prot#'!$A:$AL,22,FALSE)+7,1)</f>
        <v>V</v>
      </c>
      <c r="Y136" s="90" t="str">
        <f>MID(VLOOKUP($A136,Seqs!$A:$B,2,FALSE),VLOOKUP($A136,'NonXtal_SegEnds_Prot#'!$A:$AL,22,FALSE)+8,1)</f>
        <v>L</v>
      </c>
      <c r="Z136" s="90" t="str">
        <f>MID(VLOOKUP($A136,Seqs!$A:$B,2,FALSE),VLOOKUP($A136,'NonXtal_SegEnds_Prot#'!$A:$AL,22,FALSE)+9,1)</f>
        <v>P</v>
      </c>
      <c r="AA136" s="90" t="str">
        <f>MID(VLOOKUP($A136,Seqs!$A:$B,2,FALSE),VLOOKUP($A136,'NonXtal_SegEnds_Prot#'!$A:$AL,22,FALSE)+10,1)</f>
        <v>V</v>
      </c>
      <c r="AB136" s="64" t="str">
        <f>MID(VLOOKUP($A136,Seqs!$A:$B,2,FALSE),VLOOKUP($A136,'NonXtal_SegEnds_Prot#'!$A:$AL,28,FALSE)-4,1)</f>
        <v>G</v>
      </c>
      <c r="AC136" s="90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473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64" t="str">
        <f>MID(VLOOKUP($A137,Seqs!$A:$B,2,FALSE),VLOOKUP($A137,'NonXtal_SegEnds_Prot#'!A:AL,10,FALSE),1)</f>
        <v>D</v>
      </c>
      <c r="S137" s="90" t="str">
        <f>MID(VLOOKUP($A137,Seqs!$A:$B,2,FALSE),VLOOKUP($A137,'NonXtal_SegEnds_Prot#'!A:AL,10,FALSE)+6,1)</f>
        <v>F</v>
      </c>
      <c r="T137" s="90" t="str">
        <f>MID(VLOOKUP($A137,Seqs!$A:$B,2,FALSE),VLOOKUP($A137,'NonXtal_SegEnds_Prot#'!A:AL,10,FALSE)+7,1)</f>
        <v>C</v>
      </c>
      <c r="U137" s="90" t="str">
        <f>MID(VLOOKUP($A137,Seqs!$A:$B,2,FALSE),VLOOKUP($A137,'NonXtal_SegEnds_Prot#'!A:AL,10,FALSE)+8,1)</f>
        <v>I</v>
      </c>
      <c r="V137" s="90" t="str">
        <f>MID(VLOOKUP($A137,Seqs!$A:$B,2,FALSE),VLOOKUP($A137,'NonXtal_SegEnds_Prot#'!A:AL,10,FALSE)+9,1)</f>
        <v>P</v>
      </c>
      <c r="W137" s="64" t="str">
        <f>MID(VLOOKUP($A137,Seqs!$A:$B,2,FALSE),VLOOKUP($A137,'NonXtal_SegEnds_Prot#'!$A:$AL,22,FALSE)+6,1)</f>
        <v>L</v>
      </c>
      <c r="X137" s="90" t="str">
        <f>MID(VLOOKUP($A137,Seqs!$A:$B,2,FALSE),VLOOKUP($A137,'NonXtal_SegEnds_Prot#'!$A:$AL,22,FALSE)+7,1)</f>
        <v>Y</v>
      </c>
      <c r="Y137" s="90" t="str">
        <f>MID(VLOOKUP($A137,Seqs!$A:$B,2,FALSE),VLOOKUP($A137,'NonXtal_SegEnds_Prot#'!$A:$AL,22,FALSE)+8,1)</f>
        <v>G</v>
      </c>
      <c r="Z137" s="90" t="str">
        <f>MID(VLOOKUP($A137,Seqs!$A:$B,2,FALSE),VLOOKUP($A137,'NonXtal_SegEnds_Prot#'!$A:$AL,22,FALSE)+9,1)</f>
        <v>P</v>
      </c>
      <c r="AA137" s="90" t="str">
        <f>MID(VLOOKUP($A137,Seqs!$A:$B,2,FALSE),VLOOKUP($A137,'NonXtal_SegEnds_Prot#'!$A:$AL,22,FALSE)+10,1)</f>
        <v>A</v>
      </c>
      <c r="AB137" s="64" t="str">
        <f>MID(VLOOKUP($A137,Seqs!$A:$B,2,FALSE),VLOOKUP($A137,'NonXtal_SegEnds_Prot#'!$A:$AL,28,FALSE)-4,1)</f>
        <v>E</v>
      </c>
      <c r="AC137" s="90" t="str">
        <f>MID(VLOOKUP($A137,Seqs!$A:$B,2,FALSE),VLOOKUP($A137,'NonXtal_SegEnds_Prot#'!$A:$AL,28,FALSE),1)</f>
        <v>P</v>
      </c>
    </row>
    <row r="138" spans="1:29" s="2" customFormat="1" x14ac:dyDescent="0.2">
      <c r="A138" s="2" t="s">
        <v>375</v>
      </c>
      <c r="B138" s="2" t="str">
        <f>LOWER(VLOOKUP(A138,Xtal_Templ!A:B,2,FALSE))</f>
        <v>cnr1_human</v>
      </c>
      <c r="C138" s="2" t="str">
        <f>VLOOKUP(A138,Classification!A:D,2,FALSE)</f>
        <v>A</v>
      </c>
      <c r="P138" s="4" t="s">
        <v>51</v>
      </c>
      <c r="R138" s="64" t="str">
        <f>MID(VLOOKUP($A138,Seqs!$A:$B,2,FALSE),VLOOKUP($A138,'NonXtal_SegEnds_Prot#'!A:AL,10,FALSE),1)</f>
        <v>D</v>
      </c>
      <c r="S138" s="90" t="str">
        <f>MID(VLOOKUP($A138,Seqs!$A:$B,2,FALSE),VLOOKUP($A138,'NonXtal_SegEnds_Prot#'!A:AL,10,FALSE)+6,1)</f>
        <v>I</v>
      </c>
      <c r="T138" s="90" t="str">
        <f>MID(VLOOKUP($A138,Seqs!$A:$B,2,FALSE),VLOOKUP($A138,'NonXtal_SegEnds_Prot#'!A:AL,10,FALSE)+7,1)</f>
        <v>F</v>
      </c>
      <c r="U138" s="90" t="str">
        <f>MID(VLOOKUP($A138,Seqs!$A:$B,2,FALSE),VLOOKUP($A138,'NonXtal_SegEnds_Prot#'!A:AL,10,FALSE)+8,1)</f>
        <v>V</v>
      </c>
      <c r="V138" s="90" t="str">
        <f>MID(VLOOKUP($A138,Seqs!$A:$B,2,FALSE),VLOOKUP($A138,'NonXtal_SegEnds_Prot#'!A:AL,10,FALSE)+9,1)</f>
        <v>Y</v>
      </c>
      <c r="W138" s="64" t="str">
        <f>MID(VLOOKUP($A138,Seqs!$A:$B,2,FALSE),VLOOKUP($A138,'NonXtal_SegEnds_Prot#'!$A:$AL,22,FALSE)+6,1)</f>
        <v>I</v>
      </c>
      <c r="X138" s="90" t="str">
        <f>MID(VLOOKUP($A138,Seqs!$A:$B,2,FALSE),VLOOKUP($A138,'NonXtal_SegEnds_Prot#'!$A:$AL,22,FALSE)+7,1)</f>
        <v>A</v>
      </c>
      <c r="Y138" s="90" t="str">
        <f>MID(VLOOKUP($A138,Seqs!$A:$B,2,FALSE),VLOOKUP($A138,'NonXtal_SegEnds_Prot#'!$A:$AL,22,FALSE)+8,1)</f>
        <v>V</v>
      </c>
      <c r="Z138" s="90" t="str">
        <f>MID(VLOOKUP($A138,Seqs!$A:$B,2,FALSE),VLOOKUP($A138,'NonXtal_SegEnds_Prot#'!$A:$AL,22,FALSE)+9,1)</f>
        <v>L</v>
      </c>
      <c r="AA138" s="90" t="str">
        <f>MID(VLOOKUP($A138,Seqs!$A:$B,2,FALSE),VLOOKUP($A138,'NonXtal_SegEnds_Prot#'!$A:$AL,22,FALSE)+10,1)</f>
        <v>P</v>
      </c>
      <c r="AB138" s="64" t="str">
        <f>MID(VLOOKUP($A138,Seqs!$A:$B,2,FALSE),VLOOKUP($A138,'NonXtal_SegEnds_Prot#'!$A:$AL,28,FALSE)-4,1)</f>
        <v>V</v>
      </c>
      <c r="AC138" s="90" t="str">
        <f>MID(VLOOKUP($A138,Seqs!$A:$B,2,FALSE),VLOOKUP($A138,'NonXtal_SegEnds_Prot#'!$A:$AL,28,FALSE),1)</f>
        <v>L</v>
      </c>
    </row>
    <row r="139" spans="1:29" s="2" customFormat="1" x14ac:dyDescent="0.2">
      <c r="A139" s="2" t="s">
        <v>397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64" t="str">
        <f>MID(VLOOKUP($A139,Seqs!$A:$B,2,FALSE),VLOOKUP($A139,'NonXtal_SegEnds_Prot#'!A:AL,10,FALSE),1)</f>
        <v>D</v>
      </c>
      <c r="S139" s="90" t="str">
        <f>MID(VLOOKUP($A139,Seqs!$A:$B,2,FALSE),VLOOKUP($A139,'NonXtal_SegEnds_Prot#'!A:AL,10,FALSE)+6,1)</f>
        <v>Y</v>
      </c>
      <c r="T139" s="90" t="str">
        <f>MID(VLOOKUP($A139,Seqs!$A:$B,2,FALSE),VLOOKUP($A139,'NonXtal_SegEnds_Prot#'!A:AL,10,FALSE)+7,1)</f>
        <v>L</v>
      </c>
      <c r="U139" s="90" t="str">
        <f>MID(VLOOKUP($A139,Seqs!$A:$B,2,FALSE),VLOOKUP($A139,'NonXtal_SegEnds_Prot#'!A:AL,10,FALSE)+8,1)</f>
        <v>L</v>
      </c>
      <c r="V139" s="90" t="str">
        <f>MID(VLOOKUP($A139,Seqs!$A:$B,2,FALSE),VLOOKUP($A139,'NonXtal_SegEnds_Prot#'!A:AL,10,FALSE)+9,1)</f>
        <v>L</v>
      </c>
      <c r="W139" s="64" t="str">
        <f>MID(VLOOKUP($A139,Seqs!$A:$B,2,FALSE),VLOOKUP($A139,'NonXtal_SegEnds_Prot#'!$A:$AL,22,FALSE)+6,1)</f>
        <v>A</v>
      </c>
      <c r="X139" s="90" t="str">
        <f>MID(VLOOKUP($A139,Seqs!$A:$B,2,FALSE),VLOOKUP($A139,'NonXtal_SegEnds_Prot#'!$A:$AL,22,FALSE)+7,1)</f>
        <v>A</v>
      </c>
      <c r="Y139" s="90" t="str">
        <f>MID(VLOOKUP($A139,Seqs!$A:$B,2,FALSE),VLOOKUP($A139,'NonXtal_SegEnds_Prot#'!$A:$AL,22,FALSE)+8,1)</f>
        <v>L</v>
      </c>
      <c r="Z139" s="90" t="str">
        <f>MID(VLOOKUP($A139,Seqs!$A:$B,2,FALSE),VLOOKUP($A139,'NonXtal_SegEnds_Prot#'!$A:$AL,22,FALSE)+9,1)</f>
        <v>F</v>
      </c>
      <c r="AA139" s="90" t="str">
        <f>MID(VLOOKUP($A139,Seqs!$A:$B,2,FALSE),VLOOKUP($A139,'NonXtal_SegEnds_Prot#'!$A:$AL,22,FALSE)+10,1)</f>
        <v>P</v>
      </c>
      <c r="AB139" s="64" t="str">
        <f>MID(VLOOKUP($A139,Seqs!$A:$B,2,FALSE),VLOOKUP($A139,'NonXtal_SegEnds_Prot#'!$A:$AL,28,FALSE)-4,1)</f>
        <v>L</v>
      </c>
      <c r="AC139" s="90" t="str">
        <f>MID(VLOOKUP($A139,Seqs!$A:$B,2,FALSE),VLOOKUP($A139,'NonXtal_SegEnds_Prot#'!$A:$AL,28,FALSE),1)</f>
        <v>A</v>
      </c>
    </row>
    <row r="140" spans="1:29" s="2" customFormat="1" x14ac:dyDescent="0.2">
      <c r="A140" s="2" t="s">
        <v>415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64" t="str">
        <f>MID(VLOOKUP($A140,Seqs!$A:$B,2,FALSE),VLOOKUP($A140,'NonXtal_SegEnds_Prot#'!A:AL,10,FALSE),1)</f>
        <v>D</v>
      </c>
      <c r="S140" s="90" t="str">
        <f>MID(VLOOKUP($A140,Seqs!$A:$B,2,FALSE),VLOOKUP($A140,'NonXtal_SegEnds_Prot#'!A:AL,10,FALSE)+6,1)</f>
        <v>G</v>
      </c>
      <c r="T140" s="90" t="str">
        <f>MID(VLOOKUP($A140,Seqs!$A:$B,2,FALSE),VLOOKUP($A140,'NonXtal_SegEnds_Prot#'!A:AL,10,FALSE)+7,1)</f>
        <v>T</v>
      </c>
      <c r="U140" s="90" t="str">
        <f>MID(VLOOKUP($A140,Seqs!$A:$B,2,FALSE),VLOOKUP($A140,'NonXtal_SegEnds_Prot#'!A:AL,10,FALSE)+8,1)</f>
        <v>A</v>
      </c>
      <c r="V140" s="90" t="str">
        <f>MID(VLOOKUP($A140,Seqs!$A:$B,2,FALSE),VLOOKUP($A140,'NonXtal_SegEnds_Prot#'!A:AL,10,FALSE)+9,1)</f>
        <v>L</v>
      </c>
      <c r="W140" s="64" t="str">
        <f>MID(VLOOKUP($A140,Seqs!$A:$B,2,FALSE),VLOOKUP($A140,'NonXtal_SegEnds_Prot#'!$A:$AL,22,FALSE)+6,1)</f>
        <v>L</v>
      </c>
      <c r="X140" s="90" t="str">
        <f>MID(VLOOKUP($A140,Seqs!$A:$B,2,FALSE),VLOOKUP($A140,'NonXtal_SegEnds_Prot#'!$A:$AL,22,FALSE)+7,1)</f>
        <v>A</v>
      </c>
      <c r="Y140" s="90" t="str">
        <f>MID(VLOOKUP($A140,Seqs!$A:$B,2,FALSE),VLOOKUP($A140,'NonXtal_SegEnds_Prot#'!$A:$AL,22,FALSE)+8,1)</f>
        <v>L</v>
      </c>
      <c r="Z140" s="90" t="str">
        <f>MID(VLOOKUP($A140,Seqs!$A:$B,2,FALSE),VLOOKUP($A140,'NonXtal_SegEnds_Prot#'!$A:$AL,22,FALSE)+9,1)</f>
        <v>P</v>
      </c>
      <c r="AA140" s="90" t="str">
        <f>MID(VLOOKUP($A140,Seqs!$A:$B,2,FALSE),VLOOKUP($A140,'NonXtal_SegEnds_Prot#'!$A:$AL,22,FALSE)+10,1)</f>
        <v>P</v>
      </c>
      <c r="AB140" s="64" t="str">
        <f>MID(VLOOKUP($A140,Seqs!$A:$B,2,FALSE),VLOOKUP($A140,'NonXtal_SegEnds_Prot#'!$A:$AL,28,FALSE)-4,1)</f>
        <v>G</v>
      </c>
      <c r="AC140" s="90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423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64" t="str">
        <f>MID(VLOOKUP($A141,Seqs!$A:$B,2,FALSE),VLOOKUP($A141,'NonXtal_SegEnds_Prot#'!A:AL,10,FALSE),1)</f>
        <v>D</v>
      </c>
      <c r="S141" s="90" t="str">
        <f>MID(VLOOKUP($A141,Seqs!$A:$B,2,FALSE),VLOOKUP($A141,'NonXtal_SegEnds_Prot#'!A:AL,10,FALSE)+6,1)</f>
        <v>V</v>
      </c>
      <c r="T141" s="90" t="str">
        <f>MID(VLOOKUP($A141,Seqs!$A:$B,2,FALSE),VLOOKUP($A141,'NonXtal_SegEnds_Prot#'!A:AL,10,FALSE)+7,1)</f>
        <v>C</v>
      </c>
      <c r="U141" s="90" t="str">
        <f>MID(VLOOKUP($A141,Seqs!$A:$B,2,FALSE),VLOOKUP($A141,'NonXtal_SegEnds_Prot#'!A:AL,10,FALSE)+8,1)</f>
        <v>F</v>
      </c>
      <c r="V141" s="90" t="str">
        <f>MID(VLOOKUP($A141,Seqs!$A:$B,2,FALSE),VLOOKUP($A141,'NonXtal_SegEnds_Prot#'!A:AL,10,FALSE)+9,1)</f>
        <v>P</v>
      </c>
      <c r="W141" s="64" t="str">
        <f>MID(VLOOKUP($A141,Seqs!$A:$B,2,FALSE),VLOOKUP($A141,'NonXtal_SegEnds_Prot#'!$A:$AL,22,FALSE)+6,1)</f>
        <v>M</v>
      </c>
      <c r="X141" s="90" t="str">
        <f>MID(VLOOKUP($A141,Seqs!$A:$B,2,FALSE),VLOOKUP($A141,'NonXtal_SegEnds_Prot#'!$A:$AL,22,FALSE)+7,1)</f>
        <v>A</v>
      </c>
      <c r="Y141" s="90" t="str">
        <f>MID(VLOOKUP($A141,Seqs!$A:$B,2,FALSE),VLOOKUP($A141,'NonXtal_SegEnds_Prot#'!$A:$AL,22,FALSE)+8,1)</f>
        <v>F</v>
      </c>
      <c r="Z141" s="90" t="str">
        <f>MID(VLOOKUP($A141,Seqs!$A:$B,2,FALSE),VLOOKUP($A141,'NonXtal_SegEnds_Prot#'!$A:$AL,22,FALSE)+9,1)</f>
        <v>P</v>
      </c>
      <c r="AA141" s="90" t="str">
        <f>MID(VLOOKUP($A141,Seqs!$A:$B,2,FALSE),VLOOKUP($A141,'NonXtal_SegEnds_Prot#'!$A:$AL,22,FALSE)+10,1)</f>
        <v>P</v>
      </c>
      <c r="AB141" s="64" t="str">
        <f>MID(VLOOKUP($A141,Seqs!$A:$B,2,FALSE),VLOOKUP($A141,'NonXtal_SegEnds_Prot#'!$A:$AL,28,FALSE)-4,1)</f>
        <v>T</v>
      </c>
      <c r="AC141" s="90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428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64" t="str">
        <f>MID(VLOOKUP($A142,Seqs!$A:$B,2,FALSE),VLOOKUP($A142,'NonXtal_SegEnds_Prot#'!A:AL,10,FALSE),1)</f>
        <v>G</v>
      </c>
      <c r="S142" s="90" t="str">
        <f>MID(VLOOKUP($A142,Seqs!$A:$B,2,FALSE),VLOOKUP($A142,'NonXtal_SegEnds_Prot#'!A:AL,10,FALSE)+6,1)</f>
        <v>A</v>
      </c>
      <c r="T142" s="90" t="str">
        <f>MID(VLOOKUP($A142,Seqs!$A:$B,2,FALSE),VLOOKUP($A142,'NonXtal_SegEnds_Prot#'!A:AL,10,FALSE)+7,1)</f>
        <v>L</v>
      </c>
      <c r="U142" s="90" t="str">
        <f>MID(VLOOKUP($A142,Seqs!$A:$B,2,FALSE),VLOOKUP($A142,'NonXtal_SegEnds_Prot#'!A:AL,10,FALSE)+8,1)</f>
        <v>P</v>
      </c>
      <c r="V142" s="90" t="str">
        <f>MID(VLOOKUP($A142,Seqs!$A:$B,2,FALSE),VLOOKUP($A142,'NonXtal_SegEnds_Prot#'!A:AL,10,FALSE)+9,1)</f>
        <v>T</v>
      </c>
      <c r="W142" s="64" t="str">
        <f>MID(VLOOKUP($A142,Seqs!$A:$B,2,FALSE),VLOOKUP($A142,'NonXtal_SegEnds_Prot#'!$A:$AL,22,FALSE)+6,1)</f>
        <v>F</v>
      </c>
      <c r="X142" s="90" t="str">
        <f>MID(VLOOKUP($A142,Seqs!$A:$B,2,FALSE),VLOOKUP($A142,'NonXtal_SegEnds_Prot#'!$A:$AL,22,FALSE)+7,1)</f>
        <v>A</v>
      </c>
      <c r="Y142" s="90" t="str">
        <f>MID(VLOOKUP($A142,Seqs!$A:$B,2,FALSE),VLOOKUP($A142,'NonXtal_SegEnds_Prot#'!$A:$AL,22,FALSE)+8,1)</f>
        <v>S</v>
      </c>
      <c r="Z142" s="90" t="str">
        <f>MID(VLOOKUP($A142,Seqs!$A:$B,2,FALSE),VLOOKUP($A142,'NonXtal_SegEnds_Prot#'!$A:$AL,22,FALSE)+9,1)</f>
        <v>L</v>
      </c>
      <c r="AA142" s="90" t="str">
        <f>MID(VLOOKUP($A142,Seqs!$A:$B,2,FALSE),VLOOKUP($A142,'NonXtal_SegEnds_Prot#'!$A:$AL,22,FALSE)+10,1)</f>
        <v>P</v>
      </c>
      <c r="AB142" s="64" t="str">
        <f>MID(VLOOKUP($A142,Seqs!$A:$B,2,FALSE),VLOOKUP($A142,'NonXtal_SegEnds_Prot#'!$A:$AL,28,FALSE)-4,1)</f>
        <v>G</v>
      </c>
      <c r="AC142" s="90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441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64" t="str">
        <f>MID(VLOOKUP($A143,Seqs!$A:$B,2,FALSE),VLOOKUP($A143,'NonXtal_SegEnds_Prot#'!A:AL,10,FALSE),1)</f>
        <v>D</v>
      </c>
      <c r="S143" s="90" t="str">
        <f>MID(VLOOKUP($A143,Seqs!$A:$B,2,FALSE),VLOOKUP($A143,'NonXtal_SegEnds_Prot#'!A:AL,10,FALSE)+6,1)</f>
        <v>A</v>
      </c>
      <c r="T143" s="90" t="str">
        <f>MID(VLOOKUP($A143,Seqs!$A:$B,2,FALSE),VLOOKUP($A143,'NonXtal_SegEnds_Prot#'!A:AL,10,FALSE)+7,1)</f>
        <v>C</v>
      </c>
      <c r="U143" s="90" t="str">
        <f>MID(VLOOKUP($A143,Seqs!$A:$B,2,FALSE),VLOOKUP($A143,'NonXtal_SegEnds_Prot#'!A:AL,10,FALSE)+8,1)</f>
        <v>L</v>
      </c>
      <c r="V143" s="90" t="str">
        <f>MID(VLOOKUP($A143,Seqs!$A:$B,2,FALSE),VLOOKUP($A143,'NonXtal_SegEnds_Prot#'!A:AL,10,FALSE)+9,1)</f>
        <v>P</v>
      </c>
      <c r="W143" s="64" t="str">
        <f>MID(VLOOKUP($A143,Seqs!$A:$B,2,FALSE),VLOOKUP($A143,'NonXtal_SegEnds_Prot#'!$A:$AL,22,FALSE)+6,1)</f>
        <v>A</v>
      </c>
      <c r="X143" s="90" t="str">
        <f>MID(VLOOKUP($A143,Seqs!$A:$B,2,FALSE),VLOOKUP($A143,'NonXtal_SegEnds_Prot#'!$A:$AL,22,FALSE)+7,1)</f>
        <v>A</v>
      </c>
      <c r="Y143" s="90" t="str">
        <f>MID(VLOOKUP($A143,Seqs!$A:$B,2,FALSE),VLOOKUP($A143,'NonXtal_SegEnds_Prot#'!$A:$AL,22,FALSE)+8,1)</f>
        <v>F</v>
      </c>
      <c r="Z143" s="90" t="str">
        <f>MID(VLOOKUP($A143,Seqs!$A:$B,2,FALSE),VLOOKUP($A143,'NonXtal_SegEnds_Prot#'!$A:$AL,22,FALSE)+9,1)</f>
        <v>P</v>
      </c>
      <c r="AA143" s="90" t="str">
        <f>MID(VLOOKUP($A143,Seqs!$A:$B,2,FALSE),VLOOKUP($A143,'NonXtal_SegEnds_Prot#'!$A:$AL,22,FALSE)+10,1)</f>
        <v>P</v>
      </c>
      <c r="AB143" s="64" t="str">
        <f>MID(VLOOKUP($A143,Seqs!$A:$B,2,FALSE),VLOOKUP($A143,'NonXtal_SegEnds_Prot#'!$A:$AL,28,FALSE)-4,1)</f>
        <v>G</v>
      </c>
      <c r="AC143" s="90" t="str">
        <f>MID(VLOOKUP($A143,Seqs!$A:$B,2,FALSE),VLOOKUP($A143,'NonXtal_SegEnds_Prot#'!$A:$AL,28,FALSE),1)</f>
        <v>L</v>
      </c>
    </row>
    <row r="144" spans="1:29" s="2" customFormat="1" x14ac:dyDescent="0.2">
      <c r="A144" s="2" t="s">
        <v>456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64" t="str">
        <f>MID(VLOOKUP($A144,Seqs!$A:$B,2,FALSE),VLOOKUP($A144,'NonXtal_SegEnds_Prot#'!A:AL,10,FALSE),1)</f>
        <v>D</v>
      </c>
      <c r="S144" s="90" t="str">
        <f>MID(VLOOKUP($A144,Seqs!$A:$B,2,FALSE),VLOOKUP($A144,'NonXtal_SegEnds_Prot#'!A:AL,10,FALSE)+6,1)</f>
        <v>T</v>
      </c>
      <c r="T144" s="90" t="str">
        <f>MID(VLOOKUP($A144,Seqs!$A:$B,2,FALSE),VLOOKUP($A144,'NonXtal_SegEnds_Prot#'!A:AL,10,FALSE)+7,1)</f>
        <v>L</v>
      </c>
      <c r="U144" s="90" t="str">
        <f>MID(VLOOKUP($A144,Seqs!$A:$B,2,FALSE),VLOOKUP($A144,'NonXtal_SegEnds_Prot#'!A:AL,10,FALSE)+8,1)</f>
        <v>M</v>
      </c>
      <c r="V144" s="90" t="str">
        <f>MID(VLOOKUP($A144,Seqs!$A:$B,2,FALSE),VLOOKUP($A144,'NonXtal_SegEnds_Prot#'!A:AL,10,FALSE)+9,1)</f>
        <v>P</v>
      </c>
      <c r="W144" s="64" t="str">
        <f>MID(VLOOKUP($A144,Seqs!$A:$B,2,FALSE),VLOOKUP($A144,'NonXtal_SegEnds_Prot#'!$A:$AL,22,FALSE)+6,1)</f>
        <v>M</v>
      </c>
      <c r="X144" s="90" t="str">
        <f>MID(VLOOKUP($A144,Seqs!$A:$B,2,FALSE),VLOOKUP($A144,'NonXtal_SegEnds_Prot#'!$A:$AL,22,FALSE)+7,1)</f>
        <v>A</v>
      </c>
      <c r="Y144" s="90" t="str">
        <f>MID(VLOOKUP($A144,Seqs!$A:$B,2,FALSE),VLOOKUP($A144,'NonXtal_SegEnds_Prot#'!$A:$AL,22,FALSE)+8,1)</f>
        <v>S</v>
      </c>
      <c r="Z144" s="90" t="str">
        <f>MID(VLOOKUP($A144,Seqs!$A:$B,2,FALSE),VLOOKUP($A144,'NonXtal_SegEnds_Prot#'!$A:$AL,22,FALSE)+9,1)</f>
        <v>V</v>
      </c>
      <c r="AA144" s="90" t="str">
        <f>MID(VLOOKUP($A144,Seqs!$A:$B,2,FALSE),VLOOKUP($A144,'NonXtal_SegEnds_Prot#'!$A:$AL,22,FALSE)+10,1)</f>
        <v>P</v>
      </c>
      <c r="AB144" s="64" t="str">
        <f>MID(VLOOKUP($A144,Seqs!$A:$B,2,FALSE),VLOOKUP($A144,'NonXtal_SegEnds_Prot#'!$A:$AL,28,FALSE)-4,1)</f>
        <v>Y</v>
      </c>
      <c r="AC144" s="90" t="str">
        <f>MID(VLOOKUP($A144,Seqs!$A:$B,2,FALSE),VLOOKUP($A144,'NonXtal_SegEnds_Prot#'!$A:$AL,28,FALSE),1)</f>
        <v>P</v>
      </c>
    </row>
    <row r="145" spans="1:29" s="2" customFormat="1" x14ac:dyDescent="0.2">
      <c r="A145" s="2" t="s">
        <v>459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64" t="str">
        <f>MID(VLOOKUP($A145,Seqs!$A:$B,2,FALSE),VLOOKUP($A145,'NonXtal_SegEnds_Prot#'!A:AL,10,FALSE),1)</f>
        <v>D</v>
      </c>
      <c r="S145" s="90" t="str">
        <f>MID(VLOOKUP($A145,Seqs!$A:$B,2,FALSE),VLOOKUP($A145,'NonXtal_SegEnds_Prot#'!A:AL,10,FALSE)+6,1)</f>
        <v>V</v>
      </c>
      <c r="T145" s="90" t="str">
        <f>MID(VLOOKUP($A145,Seqs!$A:$B,2,FALSE),VLOOKUP($A145,'NonXtal_SegEnds_Prot#'!A:AL,10,FALSE)+7,1)</f>
        <v>T</v>
      </c>
      <c r="U145" s="90" t="str">
        <f>MID(VLOOKUP($A145,Seqs!$A:$B,2,FALSE),VLOOKUP($A145,'NonXtal_SegEnds_Prot#'!A:AL,10,FALSE)+8,1)</f>
        <v>A</v>
      </c>
      <c r="V145" s="90" t="str">
        <f>MID(VLOOKUP($A145,Seqs!$A:$B,2,FALSE),VLOOKUP($A145,'NonXtal_SegEnds_Prot#'!A:AL,10,FALSE)+9,1)</f>
        <v>P</v>
      </c>
      <c r="W145" s="64" t="str">
        <f>MID(VLOOKUP($A145,Seqs!$A:$B,2,FALSE),VLOOKUP($A145,'NonXtal_SegEnds_Prot#'!$A:$AL,22,FALSE)+6,1)</f>
        <v>L</v>
      </c>
      <c r="X145" s="90" t="str">
        <f>MID(VLOOKUP($A145,Seqs!$A:$B,2,FALSE),VLOOKUP($A145,'NonXtal_SegEnds_Prot#'!$A:$AL,22,FALSE)+7,1)</f>
        <v>A</v>
      </c>
      <c r="Y145" s="90" t="str">
        <f>MID(VLOOKUP($A145,Seqs!$A:$B,2,FALSE),VLOOKUP($A145,'NonXtal_SegEnds_Prot#'!$A:$AL,22,FALSE)+8,1)</f>
        <v>T</v>
      </c>
      <c r="Z145" s="90" t="str">
        <f>MID(VLOOKUP($A145,Seqs!$A:$B,2,FALSE),VLOOKUP($A145,'NonXtal_SegEnds_Prot#'!$A:$AL,22,FALSE)+9,1)</f>
        <v>L</v>
      </c>
      <c r="AA145" s="90" t="str">
        <f>MID(VLOOKUP($A145,Seqs!$A:$B,2,FALSE),VLOOKUP($A145,'NonXtal_SegEnds_Prot#'!$A:$AL,22,FALSE)+10,1)</f>
        <v>A</v>
      </c>
      <c r="AB145" s="64" t="str">
        <f>MID(VLOOKUP($A145,Seqs!$A:$B,2,FALSE),VLOOKUP($A145,'NonXtal_SegEnds_Prot#'!$A:$AL,28,FALSE)-4,1)</f>
        <v>D</v>
      </c>
      <c r="AC145" s="90" t="str">
        <f>MID(VLOOKUP($A145,Seqs!$A:$B,2,FALSE),VLOOKUP($A145,'NonXtal_SegEnds_Prot#'!$A:$AL,28,FALSE),1)</f>
        <v>C</v>
      </c>
    </row>
    <row r="146" spans="1:29" s="2" customFormat="1" x14ac:dyDescent="0.2">
      <c r="A146" s="2" t="s">
        <v>464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64" t="str">
        <f>MID(VLOOKUP($A146,Seqs!$A:$B,2,FALSE),VLOOKUP($A146,'NonXtal_SegEnds_Prot#'!A:AL,10,FALSE),1)</f>
        <v>D</v>
      </c>
      <c r="S146" s="90" t="str">
        <f>MID(VLOOKUP($A146,Seqs!$A:$B,2,FALSE),VLOOKUP($A146,'NonXtal_SegEnds_Prot#'!A:AL,10,FALSE)+6,1)</f>
        <v>I</v>
      </c>
      <c r="T146" s="90" t="str">
        <f>MID(VLOOKUP($A146,Seqs!$A:$B,2,FALSE),VLOOKUP($A146,'NonXtal_SegEnds_Prot#'!A:AL,10,FALSE)+7,1)</f>
        <v>C</v>
      </c>
      <c r="U146" s="90" t="str">
        <f>MID(VLOOKUP($A146,Seqs!$A:$B,2,FALSE),VLOOKUP($A146,'NonXtal_SegEnds_Prot#'!A:AL,10,FALSE)+8,1)</f>
        <v>F</v>
      </c>
      <c r="V146" s="90" t="str">
        <f>MID(VLOOKUP($A146,Seqs!$A:$B,2,FALSE),VLOOKUP($A146,'NonXtal_SegEnds_Prot#'!A:AL,10,FALSE)+9,1)</f>
        <v>P</v>
      </c>
      <c r="W146" s="64" t="str">
        <f>MID(VLOOKUP($A146,Seqs!$A:$B,2,FALSE),VLOOKUP($A146,'NonXtal_SegEnds_Prot#'!$A:$AL,22,FALSE)+6,1)</f>
        <v>M</v>
      </c>
      <c r="X146" s="90" t="str">
        <f>MID(VLOOKUP($A146,Seqs!$A:$B,2,FALSE),VLOOKUP($A146,'NonXtal_SegEnds_Prot#'!$A:$AL,22,FALSE)+7,1)</f>
        <v>A</v>
      </c>
      <c r="Y146" s="90" t="str">
        <f>MID(VLOOKUP($A146,Seqs!$A:$B,2,FALSE),VLOOKUP($A146,'NonXtal_SegEnds_Prot#'!$A:$AL,22,FALSE)+8,1)</f>
        <v>F</v>
      </c>
      <c r="Z146" s="90" t="str">
        <f>MID(VLOOKUP($A146,Seqs!$A:$B,2,FALSE),VLOOKUP($A146,'NonXtal_SegEnds_Prot#'!$A:$AL,22,FALSE)+9,1)</f>
        <v>P</v>
      </c>
      <c r="AA146" s="90" t="str">
        <f>MID(VLOOKUP($A146,Seqs!$A:$B,2,FALSE),VLOOKUP($A146,'NonXtal_SegEnds_Prot#'!$A:$AL,22,FALSE)+10,1)</f>
        <v>P</v>
      </c>
      <c r="AB146" s="64" t="str">
        <f>MID(VLOOKUP($A146,Seqs!$A:$B,2,FALSE),VLOOKUP($A146,'NonXtal_SegEnds_Prot#'!$A:$AL,28,FALSE)-4,1)</f>
        <v>T</v>
      </c>
      <c r="AC146" s="90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477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64" t="str">
        <f>MID(VLOOKUP($A147,Seqs!$A:$B,2,FALSE),VLOOKUP($A147,'NonXtal_SegEnds_Prot#'!A:AL,10,FALSE),1)</f>
        <v>N</v>
      </c>
      <c r="S147" s="90" t="str">
        <f>MID(VLOOKUP($A147,Seqs!$A:$B,2,FALSE),VLOOKUP($A147,'NonXtal_SegEnds_Prot#'!A:AL,10,FALSE)+6,1)</f>
        <v>S</v>
      </c>
      <c r="T147" s="90" t="str">
        <f>MID(VLOOKUP($A147,Seqs!$A:$B,2,FALSE),VLOOKUP($A147,'NonXtal_SegEnds_Prot#'!A:AL,10,FALSE)+7,1)</f>
        <v>S</v>
      </c>
      <c r="U147" s="90" t="str">
        <f>MID(VLOOKUP($A147,Seqs!$A:$B,2,FALSE),VLOOKUP($A147,'NonXtal_SegEnds_Prot#'!A:AL,10,FALSE)+8,1)</f>
        <v>A</v>
      </c>
      <c r="V147" s="90" t="str">
        <f>MID(VLOOKUP($A147,Seqs!$A:$B,2,FALSE),VLOOKUP($A147,'NonXtal_SegEnds_Prot#'!A:AL,10,FALSE)+9,1)</f>
        <v>V</v>
      </c>
      <c r="W147" s="64" t="str">
        <f>MID(VLOOKUP($A147,Seqs!$A:$B,2,FALSE),VLOOKUP($A147,'NonXtal_SegEnds_Prot#'!$A:$AL,22,FALSE)+6,1)</f>
        <v>M</v>
      </c>
      <c r="X147" s="90" t="str">
        <f>MID(VLOOKUP($A147,Seqs!$A:$B,2,FALSE),VLOOKUP($A147,'NonXtal_SegEnds_Prot#'!$A:$AL,22,FALSE)+7,1)</f>
        <v>A</v>
      </c>
      <c r="Y147" s="90" t="str">
        <f>MID(VLOOKUP($A147,Seqs!$A:$B,2,FALSE),VLOOKUP($A147,'NonXtal_SegEnds_Prot#'!$A:$AL,22,FALSE)+8,1)</f>
        <v>A</v>
      </c>
      <c r="Z147" s="90" t="str">
        <f>MID(VLOOKUP($A147,Seqs!$A:$B,2,FALSE),VLOOKUP($A147,'NonXtal_SegEnds_Prot#'!$A:$AL,22,FALSE)+9,1)</f>
        <v>V</v>
      </c>
      <c r="AA147" s="90" t="str">
        <f>MID(VLOOKUP($A147,Seqs!$A:$B,2,FALSE),VLOOKUP($A147,'NonXtal_SegEnds_Prot#'!$A:$AL,22,FALSE)+10,1)</f>
        <v>P</v>
      </c>
      <c r="AB147" s="64" t="str">
        <f>MID(VLOOKUP($A147,Seqs!$A:$B,2,FALSE),VLOOKUP($A147,'NonXtal_SegEnds_Prot#'!$A:$AL,28,FALSE)-4,1)</f>
        <v>L</v>
      </c>
      <c r="AC147" s="90" t="str">
        <f>MID(VLOOKUP($A147,Seqs!$A:$B,2,FALSE),VLOOKUP($A147,'NonXtal_SegEnds_Prot#'!$A:$AL,28,FALSE),1)</f>
        <v>C</v>
      </c>
    </row>
    <row r="148" spans="1:29" s="2" customFormat="1" x14ac:dyDescent="0.2">
      <c r="A148" s="2" t="s">
        <v>478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64" t="str">
        <f>MID(VLOOKUP($A148,Seqs!$A:$B,2,FALSE),VLOOKUP($A148,'NonXtal_SegEnds_Prot#'!A:AL,10,FALSE),1)</f>
        <v>N</v>
      </c>
      <c r="S148" s="90" t="str">
        <f>MID(VLOOKUP($A148,Seqs!$A:$B,2,FALSE),VLOOKUP($A148,'NonXtal_SegEnds_Prot#'!A:AL,10,FALSE)+6,1)</f>
        <v>S</v>
      </c>
      <c r="T148" s="90" t="str">
        <f>MID(VLOOKUP($A148,Seqs!$A:$B,2,FALSE),VLOOKUP($A148,'NonXtal_SegEnds_Prot#'!A:AL,10,FALSE)+7,1)</f>
        <v>C</v>
      </c>
      <c r="U148" s="90" t="str">
        <f>MID(VLOOKUP($A148,Seqs!$A:$B,2,FALSE),VLOOKUP($A148,'NonXtal_SegEnds_Prot#'!A:AL,10,FALSE)+8,1)</f>
        <v>G</v>
      </c>
      <c r="V148" s="90" t="str">
        <f>MID(VLOOKUP($A148,Seqs!$A:$B,2,FALSE),VLOOKUP($A148,'NonXtal_SegEnds_Prot#'!A:AL,10,FALSE)+9,1)</f>
        <v>L</v>
      </c>
      <c r="W148" s="64" t="str">
        <f>MID(VLOOKUP($A148,Seqs!$A:$B,2,FALSE),VLOOKUP($A148,'NonXtal_SegEnds_Prot#'!$A:$AL,22,FALSE)+6,1)</f>
        <v>A</v>
      </c>
      <c r="X148" s="90" t="str">
        <f>MID(VLOOKUP($A148,Seqs!$A:$B,2,FALSE),VLOOKUP($A148,'NonXtal_SegEnds_Prot#'!$A:$AL,22,FALSE)+7,1)</f>
        <v>A</v>
      </c>
      <c r="Y148" s="90" t="str">
        <f>MID(VLOOKUP($A148,Seqs!$A:$B,2,FALSE),VLOOKUP($A148,'NonXtal_SegEnds_Prot#'!$A:$AL,22,FALSE)+8,1)</f>
        <v>A</v>
      </c>
      <c r="Z148" s="90" t="str">
        <f>MID(VLOOKUP($A148,Seqs!$A:$B,2,FALSE),VLOOKUP($A148,'NonXtal_SegEnds_Prot#'!$A:$AL,22,FALSE)+9,1)</f>
        <v>L</v>
      </c>
      <c r="AA148" s="90" t="str">
        <f>MID(VLOOKUP($A148,Seqs!$A:$B,2,FALSE),VLOOKUP($A148,'NonXtal_SegEnds_Prot#'!$A:$AL,22,FALSE)+10,1)</f>
        <v>P</v>
      </c>
      <c r="AB148" s="64" t="str">
        <f>MID(VLOOKUP($A148,Seqs!$A:$B,2,FALSE),VLOOKUP($A148,'NonXtal_SegEnds_Prot#'!$A:$AL,28,FALSE)-4,1)</f>
        <v>M</v>
      </c>
      <c r="AC148" s="90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484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64" t="str">
        <f>MID(VLOOKUP($A149,Seqs!$A:$B,2,FALSE),VLOOKUP($A149,'NonXtal_SegEnds_Prot#'!A:AL,10,FALSE),1)</f>
        <v>D</v>
      </c>
      <c r="S149" s="90" t="str">
        <f>MID(VLOOKUP($A149,Seqs!$A:$B,2,FALSE),VLOOKUP($A149,'NonXtal_SegEnds_Prot#'!A:AL,10,FALSE)+6,1)</f>
        <v>Y</v>
      </c>
      <c r="T149" s="90" t="str">
        <f>MID(VLOOKUP($A149,Seqs!$A:$B,2,FALSE),VLOOKUP($A149,'NonXtal_SegEnds_Prot#'!A:AL,10,FALSE)+7,1)</f>
        <v>L</v>
      </c>
      <c r="U149" s="90" t="str">
        <f>MID(VLOOKUP($A149,Seqs!$A:$B,2,FALSE),VLOOKUP($A149,'NonXtal_SegEnds_Prot#'!A:AL,10,FALSE)+8,1)</f>
        <v>L</v>
      </c>
      <c r="V149" s="90" t="str">
        <f>MID(VLOOKUP($A149,Seqs!$A:$B,2,FALSE),VLOOKUP($A149,'NonXtal_SegEnds_Prot#'!A:AL,10,FALSE)+9,1)</f>
        <v>L</v>
      </c>
      <c r="W149" s="64" t="str">
        <f>MID(VLOOKUP($A149,Seqs!$A:$B,2,FALSE),VLOOKUP($A149,'NonXtal_SegEnds_Prot#'!$A:$AL,22,FALSE)+6,1)</f>
        <v>I</v>
      </c>
      <c r="X149" s="90" t="str">
        <f>MID(VLOOKUP($A149,Seqs!$A:$B,2,FALSE),VLOOKUP($A149,'NonXtal_SegEnds_Prot#'!$A:$AL,22,FALSE)+7,1)</f>
        <v>A</v>
      </c>
      <c r="Y149" s="90" t="str">
        <f>MID(VLOOKUP($A149,Seqs!$A:$B,2,FALSE),VLOOKUP($A149,'NonXtal_SegEnds_Prot#'!$A:$AL,22,FALSE)+8,1)</f>
        <v>M</v>
      </c>
      <c r="Z149" s="90" t="str">
        <f>MID(VLOOKUP($A149,Seqs!$A:$B,2,FALSE),VLOOKUP($A149,'NonXtal_SegEnds_Prot#'!$A:$AL,22,FALSE)+9,1)</f>
        <v>L</v>
      </c>
      <c r="AA149" s="90" t="str">
        <f>MID(VLOOKUP($A149,Seqs!$A:$B,2,FALSE),VLOOKUP($A149,'NonXtal_SegEnds_Prot#'!$A:$AL,22,FALSE)+10,1)</f>
        <v>P</v>
      </c>
      <c r="AB149" s="64" t="str">
        <f>MID(VLOOKUP($A149,Seqs!$A:$B,2,FALSE),VLOOKUP($A149,'NonXtal_SegEnds_Prot#'!$A:$AL,28,FALSE)-4,1)</f>
        <v>L</v>
      </c>
      <c r="AC149" s="90" t="str">
        <f>MID(VLOOKUP($A149,Seqs!$A:$B,2,FALSE),VLOOKUP($A149,'NonXtal_SegEnds_Prot#'!$A:$AL,28,FALSE),1)</f>
        <v>A</v>
      </c>
    </row>
    <row r="150" spans="1:29" s="2" customFormat="1" x14ac:dyDescent="0.2">
      <c r="A150" s="2" t="s">
        <v>525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64" t="str">
        <f>MID(VLOOKUP($A150,Seqs!$A:$B,2,FALSE),VLOOKUP($A150,'NonXtal_SegEnds_Prot#'!A:AL,10,FALSE),1)</f>
        <v>D</v>
      </c>
      <c r="S150" s="90" t="str">
        <f>MID(VLOOKUP($A150,Seqs!$A:$B,2,FALSE),VLOOKUP($A150,'NonXtal_SegEnds_Prot#'!A:AL,10,FALSE)+6,1)</f>
        <v>F</v>
      </c>
      <c r="T150" s="90" t="str">
        <f>MID(VLOOKUP($A150,Seqs!$A:$B,2,FALSE),VLOOKUP($A150,'NonXtal_SegEnds_Prot#'!A:AL,10,FALSE)+7,1)</f>
        <v>G</v>
      </c>
      <c r="U150" s="90" t="str">
        <f>MID(VLOOKUP($A150,Seqs!$A:$B,2,FALSE),VLOOKUP($A150,'NonXtal_SegEnds_Prot#'!A:AL,10,FALSE)+8,1)</f>
        <v>V</v>
      </c>
      <c r="V150" s="90" t="str">
        <f>MID(VLOOKUP($A150,Seqs!$A:$B,2,FALSE),VLOOKUP($A150,'NonXtal_SegEnds_Prot#'!A:AL,10,FALSE)+9,1)</f>
        <v>T</v>
      </c>
      <c r="W150" s="64" t="str">
        <f>MID(VLOOKUP($A150,Seqs!$A:$B,2,FALSE),VLOOKUP($A150,'NonXtal_SegEnds_Prot#'!$A:$AL,22,FALSE)+6,1)</f>
        <v>W</v>
      </c>
      <c r="X150" s="90" t="str">
        <f>MID(VLOOKUP($A150,Seqs!$A:$B,2,FALSE),VLOOKUP($A150,'NonXtal_SegEnds_Prot#'!$A:$AL,22,FALSE)+7,1)</f>
        <v>A</v>
      </c>
      <c r="Y150" s="90" t="str">
        <f>MID(VLOOKUP($A150,Seqs!$A:$B,2,FALSE),VLOOKUP($A150,'NonXtal_SegEnds_Prot#'!$A:$AL,22,FALSE)+8,1)</f>
        <v>G</v>
      </c>
      <c r="Z150" s="90" t="str">
        <f>MID(VLOOKUP($A150,Seqs!$A:$B,2,FALSE),VLOOKUP($A150,'NonXtal_SegEnds_Prot#'!$A:$AL,22,FALSE)+9,1)</f>
        <v>A</v>
      </c>
      <c r="AA150" s="90" t="str">
        <f>MID(VLOOKUP($A150,Seqs!$A:$B,2,FALSE),VLOOKUP($A150,'NonXtal_SegEnds_Prot#'!$A:$AL,22,FALSE)+10,1)</f>
        <v>P</v>
      </c>
      <c r="AB150" s="64" t="str">
        <f>MID(VLOOKUP($A150,Seqs!$A:$B,2,FALSE),VLOOKUP($A150,'NonXtal_SegEnds_Prot#'!$A:$AL,28,FALSE)-4,1)</f>
        <v>C</v>
      </c>
      <c r="AC150" s="90" t="str">
        <f>MID(VLOOKUP($A150,Seqs!$A:$B,2,FALSE),VLOOKUP($A150,'NonXtal_SegEnds_Prot#'!$A:$AL,28,FALSE),1)</f>
        <v>P</v>
      </c>
    </row>
    <row r="151" spans="1:29" s="2" customFormat="1" x14ac:dyDescent="0.2">
      <c r="A151" s="2" t="s">
        <v>1115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64" t="str">
        <f>MID(VLOOKUP($A151,Seqs!$A:$B,2,FALSE),VLOOKUP($A151,'NonXtal_SegEnds_Prot#'!A:AL,10,FALSE),1)</f>
        <v>D</v>
      </c>
      <c r="S151" s="90" t="str">
        <f>MID(VLOOKUP($A151,Seqs!$A:$B,2,FALSE),VLOOKUP($A151,'NonXtal_SegEnds_Prot#'!A:AL,10,FALSE)+6,1)</f>
        <v>G</v>
      </c>
      <c r="T151" s="90" t="str">
        <f>MID(VLOOKUP($A151,Seqs!$A:$B,2,FALSE),VLOOKUP($A151,'NonXtal_SegEnds_Prot#'!A:AL,10,FALSE)+7,1)</f>
        <v>G</v>
      </c>
      <c r="U151" s="90" t="str">
        <f>MID(VLOOKUP($A151,Seqs!$A:$B,2,FALSE),VLOOKUP($A151,'NonXtal_SegEnds_Prot#'!A:AL,10,FALSE)+8,1)</f>
        <v>F</v>
      </c>
      <c r="V151" s="90" t="str">
        <f>MID(VLOOKUP($A151,Seqs!$A:$B,2,FALSE),VLOOKUP($A151,'NonXtal_SegEnds_Prot#'!A:AL,10,FALSE)+9,1)</f>
        <v>T</v>
      </c>
      <c r="W151" s="64" t="str">
        <f>MID(VLOOKUP($A151,Seqs!$A:$B,2,FALSE),VLOOKUP($A151,'NonXtal_SegEnds_Prot#'!$A:$AL,22,FALSE)+6,1)</f>
        <v>C</v>
      </c>
      <c r="X151" s="90" t="str">
        <f>MID(VLOOKUP($A151,Seqs!$A:$B,2,FALSE),VLOOKUP($A151,'NonXtal_SegEnds_Prot#'!$A:$AL,22,FALSE)+7,1)</f>
        <v>A</v>
      </c>
      <c r="Y151" s="90" t="str">
        <f>MID(VLOOKUP($A151,Seqs!$A:$B,2,FALSE),VLOOKUP($A151,'NonXtal_SegEnds_Prot#'!$A:$AL,22,FALSE)+8,1)</f>
        <v>A</v>
      </c>
      <c r="Z151" s="90" t="str">
        <f>MID(VLOOKUP($A151,Seqs!$A:$B,2,FALSE),VLOOKUP($A151,'NonXtal_SegEnds_Prot#'!$A:$AL,22,FALSE)+9,1)</f>
        <v>P</v>
      </c>
      <c r="AA151" s="90" t="str">
        <f>MID(VLOOKUP($A151,Seqs!$A:$B,2,FALSE),VLOOKUP($A151,'NonXtal_SegEnds_Prot#'!$A:$AL,22,FALSE)+10,1)</f>
        <v>P</v>
      </c>
      <c r="AB151" s="64" t="str">
        <f>MID(VLOOKUP($A151,Seqs!$A:$B,2,FALSE),VLOOKUP($A151,'NonXtal_SegEnds_Prot#'!$A:$AL,28,FALSE)-4,1)</f>
        <v>H</v>
      </c>
      <c r="AC151" s="90" t="str">
        <f>MID(VLOOKUP($A151,Seqs!$A:$B,2,FALSE),VLOOKUP($A151,'NonXtal_SegEnds_Prot#'!$A:$AL,28,FALSE),1)</f>
        <v>P</v>
      </c>
    </row>
    <row r="152" spans="1:29" s="2" customFormat="1" x14ac:dyDescent="0.2">
      <c r="A152" s="2" t="s">
        <v>532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64" t="str">
        <f>MID(VLOOKUP($A152,Seqs!$A:$B,2,FALSE),VLOOKUP($A152,'NonXtal_SegEnds_Prot#'!A:AL,10,FALSE),1)</f>
        <v>D</v>
      </c>
      <c r="S152" s="90" t="str">
        <f>MID(VLOOKUP($A152,Seqs!$A:$B,2,FALSE),VLOOKUP($A152,'NonXtal_SegEnds_Prot#'!A:AL,10,FALSE)+6,1)</f>
        <v>G</v>
      </c>
      <c r="T152" s="90" t="str">
        <f>MID(VLOOKUP($A152,Seqs!$A:$B,2,FALSE),VLOOKUP($A152,'NonXtal_SegEnds_Prot#'!A:AL,10,FALSE)+7,1)</f>
        <v>G</v>
      </c>
      <c r="U152" s="90" t="str">
        <f>MID(VLOOKUP($A152,Seqs!$A:$B,2,FALSE),VLOOKUP($A152,'NonXtal_SegEnds_Prot#'!A:AL,10,FALSE)+8,1)</f>
        <v>F</v>
      </c>
      <c r="V152" s="90" t="str">
        <f>MID(VLOOKUP($A152,Seqs!$A:$B,2,FALSE),VLOOKUP($A152,'NonXtal_SegEnds_Prot#'!A:AL,10,FALSE)+9,1)</f>
        <v>T</v>
      </c>
      <c r="W152" s="64" t="str">
        <f>MID(VLOOKUP($A152,Seqs!$A:$B,2,FALSE),VLOOKUP($A152,'NonXtal_SegEnds_Prot#'!$A:$AL,22,FALSE)+6,1)</f>
        <v>C</v>
      </c>
      <c r="X152" s="90" t="str">
        <f>MID(VLOOKUP($A152,Seqs!$A:$B,2,FALSE),VLOOKUP($A152,'NonXtal_SegEnds_Prot#'!$A:$AL,22,FALSE)+7,1)</f>
        <v>A</v>
      </c>
      <c r="Y152" s="90" t="str">
        <f>MID(VLOOKUP($A152,Seqs!$A:$B,2,FALSE),VLOOKUP($A152,'NonXtal_SegEnds_Prot#'!$A:$AL,22,FALSE)+8,1)</f>
        <v>A</v>
      </c>
      <c r="Z152" s="90" t="str">
        <f>MID(VLOOKUP($A152,Seqs!$A:$B,2,FALSE),VLOOKUP($A152,'NonXtal_SegEnds_Prot#'!$A:$AL,22,FALSE)+9,1)</f>
        <v>P</v>
      </c>
      <c r="AA152" s="90" t="str">
        <f>MID(VLOOKUP($A152,Seqs!$A:$B,2,FALSE),VLOOKUP($A152,'NonXtal_SegEnds_Prot#'!$A:$AL,22,FALSE)+10,1)</f>
        <v>P</v>
      </c>
      <c r="AB152" s="64" t="str">
        <f>MID(VLOOKUP($A152,Seqs!$A:$B,2,FALSE),VLOOKUP($A152,'NonXtal_SegEnds_Prot#'!$A:$AL,28,FALSE)-4,1)</f>
        <v>H</v>
      </c>
      <c r="AC152" s="90" t="str">
        <f>MID(VLOOKUP($A152,Seqs!$A:$B,2,FALSE),VLOOKUP($A152,'NonXtal_SegEnds_Prot#'!$A:$AL,28,FALSE),1)</f>
        <v>P</v>
      </c>
    </row>
    <row r="153" spans="1:29" s="2" customFormat="1" x14ac:dyDescent="0.2">
      <c r="A153" s="2" t="s">
        <v>1117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64" t="str">
        <f>MID(VLOOKUP($A153,Seqs!$A:$B,2,FALSE),VLOOKUP($A153,'NonXtal_SegEnds_Prot#'!A:AL,10,FALSE),1)</f>
        <v>D</v>
      </c>
      <c r="S153" s="90" t="str">
        <f>MID(VLOOKUP($A153,Seqs!$A:$B,2,FALSE),VLOOKUP($A153,'NonXtal_SegEnds_Prot#'!A:AL,10,FALSE)+6,1)</f>
        <v>V</v>
      </c>
      <c r="T153" s="90" t="str">
        <f>MID(VLOOKUP($A153,Seqs!$A:$B,2,FALSE),VLOOKUP($A153,'NonXtal_SegEnds_Prot#'!A:AL,10,FALSE)+7,1)</f>
        <v>N</v>
      </c>
      <c r="U153" s="90" t="str">
        <f>MID(VLOOKUP($A153,Seqs!$A:$B,2,FALSE),VLOOKUP($A153,'NonXtal_SegEnds_Prot#'!A:AL,10,FALSE)+8,1)</f>
        <v>G</v>
      </c>
      <c r="V153" s="90" t="str">
        <f>MID(VLOOKUP($A153,Seqs!$A:$B,2,FALSE),VLOOKUP($A153,'NonXtal_SegEnds_Prot#'!A:AL,10,FALSE)+9,1)</f>
        <v>F</v>
      </c>
      <c r="W153" s="64" t="str">
        <f>MID(VLOOKUP($A153,Seqs!$A:$B,2,FALSE),VLOOKUP($A153,'NonXtal_SegEnds_Prot#'!$A:$AL,22,FALSE)+6,1)</f>
        <v>W</v>
      </c>
      <c r="X153" s="90" t="str">
        <f>MID(VLOOKUP($A153,Seqs!$A:$B,2,FALSE),VLOOKUP($A153,'NonXtal_SegEnds_Prot#'!$A:$AL,22,FALSE)+7,1)</f>
        <v>A</v>
      </c>
      <c r="Y153" s="90" t="str">
        <f>MID(VLOOKUP($A153,Seqs!$A:$B,2,FALSE),VLOOKUP($A153,'NonXtal_SegEnds_Prot#'!$A:$AL,22,FALSE)+8,1)</f>
        <v>I</v>
      </c>
      <c r="Z153" s="90" t="str">
        <f>MID(VLOOKUP($A153,Seqs!$A:$B,2,FALSE),VLOOKUP($A153,'NonXtal_SegEnds_Prot#'!$A:$AL,22,FALSE)+9,1)</f>
        <v>G</v>
      </c>
      <c r="AA153" s="90" t="str">
        <f>MID(VLOOKUP($A153,Seqs!$A:$B,2,FALSE),VLOOKUP($A153,'NonXtal_SegEnds_Prot#'!$A:$AL,22,FALSE)+10,1)</f>
        <v>P</v>
      </c>
      <c r="AB153" s="64" t="str">
        <f>MID(VLOOKUP($A153,Seqs!$A:$B,2,FALSE),VLOOKUP($A153,'NonXtal_SegEnds_Prot#'!$A:$AL,28,FALSE)-4,1)</f>
        <v>G</v>
      </c>
      <c r="AC153" s="90" t="str">
        <f>MID(VLOOKUP($A153,Seqs!$A:$B,2,FALSE),VLOOKUP($A153,'NonXtal_SegEnds_Prot#'!$A:$AL,28,FALSE),1)</f>
        <v>P</v>
      </c>
    </row>
    <row r="154" spans="1:29" s="2" customFormat="1" x14ac:dyDescent="0.2">
      <c r="A154" s="2" t="s">
        <v>544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1553</v>
      </c>
      <c r="P154" s="4" t="s">
        <v>51</v>
      </c>
      <c r="R154" s="64" t="str">
        <f>MID(VLOOKUP($A154,Seqs!$A:$B,2,FALSE),VLOOKUP($A154,'NonXtal_SegEnds_Prot#'!A:AL,10,FALSE),1)</f>
        <v>D</v>
      </c>
      <c r="S154" s="90" t="str">
        <f>MID(VLOOKUP($A154,Seqs!$A:$B,2,FALSE),VLOOKUP($A154,'NonXtal_SegEnds_Prot#'!A:AL,10,FALSE)+6,1)</f>
        <v>T</v>
      </c>
      <c r="T154" s="90" t="str">
        <f>MID(VLOOKUP($A154,Seqs!$A:$B,2,FALSE),VLOOKUP($A154,'NonXtal_SegEnds_Prot#'!A:AL,10,FALSE)+7,1)</f>
        <v>L</v>
      </c>
      <c r="U154" s="90" t="str">
        <f>MID(VLOOKUP($A154,Seqs!$A:$B,2,FALSE),VLOOKUP($A154,'NonXtal_SegEnds_Prot#'!A:AL,10,FALSE)+8,1)</f>
        <v>P</v>
      </c>
      <c r="V154" s="90" t="str">
        <f>MID(VLOOKUP($A154,Seqs!$A:$B,2,FALSE),VLOOKUP($A154,'NonXtal_SegEnds_Prot#'!A:AL,10,FALSE)+9,1)</f>
        <v>P</v>
      </c>
      <c r="W154" s="64" t="str">
        <f>MID(VLOOKUP($A154,Seqs!$A:$B,2,FALSE),VLOOKUP($A154,'NonXtal_SegEnds_Prot#'!$A:$AL,22,FALSE)+6,1)</f>
        <v>L</v>
      </c>
      <c r="X154" s="90" t="str">
        <f>MID(VLOOKUP($A154,Seqs!$A:$B,2,FALSE),VLOOKUP($A154,'NonXtal_SegEnds_Prot#'!$A:$AL,22,FALSE)+7,1)</f>
        <v>A</v>
      </c>
      <c r="Y154" s="90" t="str">
        <f>MID(VLOOKUP($A154,Seqs!$A:$B,2,FALSE),VLOOKUP($A154,'NonXtal_SegEnds_Prot#'!$A:$AL,22,FALSE)+8,1)</f>
        <v>M</v>
      </c>
      <c r="Z154" s="90" t="str">
        <f>MID(VLOOKUP($A154,Seqs!$A:$B,2,FALSE),VLOOKUP($A154,'NonXtal_SegEnds_Prot#'!$A:$AL,22,FALSE)+9,1)</f>
        <v>P</v>
      </c>
      <c r="AA154" s="90" t="str">
        <f>MID(VLOOKUP($A154,Seqs!$A:$B,2,FALSE),VLOOKUP($A154,'NonXtal_SegEnds_Prot#'!$A:$AL,22,FALSE)+10,1)</f>
        <v>T</v>
      </c>
      <c r="AB154" s="64" t="str">
        <f>MID(VLOOKUP($A154,Seqs!$A:$B,2,FALSE),VLOOKUP($A154,'NonXtal_SegEnds_Prot#'!$A:$AL,28,FALSE)-4,1)</f>
        <v>G</v>
      </c>
      <c r="AC154" s="90" t="str">
        <f>MID(VLOOKUP($A154,Seqs!$A:$B,2,FALSE),VLOOKUP($A154,'NonXtal_SegEnds_Prot#'!$A:$AL,28,FALSE),1)</f>
        <v>P</v>
      </c>
    </row>
    <row r="155" spans="1:29" s="2" customFormat="1" x14ac:dyDescent="0.2">
      <c r="A155" s="2" t="s">
        <v>547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1553</v>
      </c>
      <c r="P155" s="4" t="s">
        <v>51</v>
      </c>
      <c r="R155" s="64" t="str">
        <f>MID(VLOOKUP($A155,Seqs!$A:$B,2,FALSE),VLOOKUP($A155,'NonXtal_SegEnds_Prot#'!A:AL,10,FALSE),1)</f>
        <v>D</v>
      </c>
      <c r="S155" s="90" t="str">
        <f>MID(VLOOKUP($A155,Seqs!$A:$B,2,FALSE),VLOOKUP($A155,'NonXtal_SegEnds_Prot#'!A:AL,10,FALSE)+6,1)</f>
        <v>T</v>
      </c>
      <c r="T155" s="90" t="str">
        <f>MID(VLOOKUP($A155,Seqs!$A:$B,2,FALSE),VLOOKUP($A155,'NonXtal_SegEnds_Prot#'!A:AL,10,FALSE)+7,1)</f>
        <v>F</v>
      </c>
      <c r="U155" s="90" t="str">
        <f>MID(VLOOKUP($A155,Seqs!$A:$B,2,FALSE),VLOOKUP($A155,'NonXtal_SegEnds_Prot#'!A:AL,10,FALSE)+8,1)</f>
        <v>P</v>
      </c>
      <c r="V155" s="90" t="str">
        <f>MID(VLOOKUP($A155,Seqs!$A:$B,2,FALSE),VLOOKUP($A155,'NonXtal_SegEnds_Prot#'!A:AL,10,FALSE)+9,1)</f>
        <v>F</v>
      </c>
      <c r="W155" s="64" t="str">
        <f>MID(VLOOKUP($A155,Seqs!$A:$B,2,FALSE),VLOOKUP($A155,'NonXtal_SegEnds_Prot#'!$A:$AL,22,FALSE)+6,1)</f>
        <v>L</v>
      </c>
      <c r="X155" s="90" t="str">
        <f>MID(VLOOKUP($A155,Seqs!$A:$B,2,FALSE),VLOOKUP($A155,'NonXtal_SegEnds_Prot#'!$A:$AL,22,FALSE)+7,1)</f>
        <v>A</v>
      </c>
      <c r="Y155" s="90" t="str">
        <f>MID(VLOOKUP($A155,Seqs!$A:$B,2,FALSE),VLOOKUP($A155,'NonXtal_SegEnds_Prot#'!$A:$AL,22,FALSE)+8,1)</f>
        <v>V</v>
      </c>
      <c r="Z155" s="90" t="str">
        <f>MID(VLOOKUP($A155,Seqs!$A:$B,2,FALSE),VLOOKUP($A155,'NonXtal_SegEnds_Prot#'!$A:$AL,22,FALSE)+9,1)</f>
        <v>P</v>
      </c>
      <c r="AA155" s="90" t="str">
        <f>MID(VLOOKUP($A155,Seqs!$A:$B,2,FALSE),VLOOKUP($A155,'NonXtal_SegEnds_Prot#'!$A:$AL,22,FALSE)+10,1)</f>
        <v>N</v>
      </c>
      <c r="AB155" s="64" t="str">
        <f>MID(VLOOKUP($A155,Seqs!$A:$B,2,FALSE),VLOOKUP($A155,'NonXtal_SegEnds_Prot#'!$A:$AL,28,FALSE)-4,1)</f>
        <v>I</v>
      </c>
      <c r="AC155" s="90" t="str">
        <f>MID(VLOOKUP($A155,Seqs!$A:$B,2,FALSE),VLOOKUP($A155,'NonXtal_SegEnds_Prot#'!$A:$AL,28,FALSE),1)</f>
        <v>V</v>
      </c>
    </row>
    <row r="156" spans="1:29" s="2" customFormat="1" x14ac:dyDescent="0.2">
      <c r="A156" s="2" t="s">
        <v>554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64" t="str">
        <f>MID(VLOOKUP($A156,Seqs!$A:$B,2,FALSE),VLOOKUP($A156,'NonXtal_SegEnds_Prot#'!A:AL,10,FALSE),1)</f>
        <v>D</v>
      </c>
      <c r="S156" s="90" t="str">
        <f>MID(VLOOKUP($A156,Seqs!$A:$B,2,FALSE),VLOOKUP($A156,'NonXtal_SegEnds_Prot#'!A:AL,10,FALSE)+6,1)</f>
        <v>I</v>
      </c>
      <c r="T156" s="90" t="str">
        <f>MID(VLOOKUP($A156,Seqs!$A:$B,2,FALSE),VLOOKUP($A156,'NonXtal_SegEnds_Prot#'!A:AL,10,FALSE)+7,1)</f>
        <v>P</v>
      </c>
      <c r="U156" s="90" t="str">
        <f>MID(VLOOKUP($A156,Seqs!$A:$B,2,FALSE),VLOOKUP($A156,'NonXtal_SegEnds_Prot#'!A:AL,10,FALSE)+8,1)</f>
        <v>G</v>
      </c>
      <c r="V156" s="90" t="str">
        <f>MID(VLOOKUP($A156,Seqs!$A:$B,2,FALSE),VLOOKUP($A156,'NonXtal_SegEnds_Prot#'!A:AL,10,FALSE)+9,1)</f>
        <v>A</v>
      </c>
      <c r="W156" s="64" t="str">
        <f>MID(VLOOKUP($A156,Seqs!$A:$B,2,FALSE),VLOOKUP($A156,'NonXtal_SegEnds_Prot#'!$A:$AL,22,FALSE)+6,1)</f>
        <v>V</v>
      </c>
      <c r="X156" s="90" t="str">
        <f>MID(VLOOKUP($A156,Seqs!$A:$B,2,FALSE),VLOOKUP($A156,'NonXtal_SegEnds_Prot#'!$A:$AL,22,FALSE)+7,1)</f>
        <v>A</v>
      </c>
      <c r="Y156" s="90" t="str">
        <f>MID(VLOOKUP($A156,Seqs!$A:$B,2,FALSE),VLOOKUP($A156,'NonXtal_SegEnds_Prot#'!$A:$AL,22,FALSE)+8,1)</f>
        <v>L</v>
      </c>
      <c r="Z156" s="90" t="str">
        <f>MID(VLOOKUP($A156,Seqs!$A:$B,2,FALSE),VLOOKUP($A156,'NonXtal_SegEnds_Prot#'!$A:$AL,22,FALSE)+9,1)</f>
        <v>L</v>
      </c>
      <c r="AA156" s="90" t="str">
        <f>MID(VLOOKUP($A156,Seqs!$A:$B,2,FALSE),VLOOKUP($A156,'NonXtal_SegEnds_Prot#'!$A:$AL,22,FALSE)+10,1)</f>
        <v>P</v>
      </c>
      <c r="AB156" s="64" t="str">
        <f>MID(VLOOKUP($A156,Seqs!$A:$B,2,FALSE),VLOOKUP($A156,'NonXtal_SegEnds_Prot#'!$A:$AL,28,FALSE)-4,1)</f>
        <v>L</v>
      </c>
      <c r="AC156" s="90" t="str">
        <f>MID(VLOOKUP($A156,Seqs!$A:$B,2,FALSE),VLOOKUP($A156,'NonXtal_SegEnds_Prot#'!$A:$AL,28,FALSE),1)</f>
        <v>L</v>
      </c>
    </row>
    <row r="157" spans="1:29" s="2" customFormat="1" x14ac:dyDescent="0.2">
      <c r="A157" s="2" t="s">
        <v>556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64" t="str">
        <f>MID(VLOOKUP($A157,Seqs!$A:$B,2,FALSE),VLOOKUP($A157,'NonXtal_SegEnds_Prot#'!A:AL,10,FALSE),1)</f>
        <v>D</v>
      </c>
      <c r="S157" s="90" t="str">
        <f>MID(VLOOKUP($A157,Seqs!$A:$B,2,FALSE),VLOOKUP($A157,'NonXtal_SegEnds_Prot#'!A:AL,10,FALSE)+6,1)</f>
        <v>L</v>
      </c>
      <c r="T157" s="90" t="str">
        <f>MID(VLOOKUP($A157,Seqs!$A:$B,2,FALSE),VLOOKUP($A157,'NonXtal_SegEnds_Prot#'!A:AL,10,FALSE)+7,1)</f>
        <v>T</v>
      </c>
      <c r="U157" s="90" t="str">
        <f>MID(VLOOKUP($A157,Seqs!$A:$B,2,FALSE),VLOOKUP($A157,'NonXtal_SegEnds_Prot#'!A:AL,10,FALSE)+8,1)</f>
        <v>T</v>
      </c>
      <c r="V157" s="90" t="str">
        <f>MID(VLOOKUP($A157,Seqs!$A:$B,2,FALSE),VLOOKUP($A157,'NonXtal_SegEnds_Prot#'!A:AL,10,FALSE)+9,1)</f>
        <v>P</v>
      </c>
      <c r="W157" s="64" t="str">
        <f>MID(VLOOKUP($A157,Seqs!$A:$B,2,FALSE),VLOOKUP($A157,'NonXtal_SegEnds_Prot#'!$A:$AL,22,FALSE)+6,1)</f>
        <v>F</v>
      </c>
      <c r="X157" s="90" t="str">
        <f>MID(VLOOKUP($A157,Seqs!$A:$B,2,FALSE),VLOOKUP($A157,'NonXtal_SegEnds_Prot#'!$A:$AL,22,FALSE)+7,1)</f>
        <v>A</v>
      </c>
      <c r="Y157" s="90" t="str">
        <f>MID(VLOOKUP($A157,Seqs!$A:$B,2,FALSE),VLOOKUP($A157,'NonXtal_SegEnds_Prot#'!$A:$AL,22,FALSE)+8,1)</f>
        <v>L</v>
      </c>
      <c r="Z157" s="90" t="str">
        <f>MID(VLOOKUP($A157,Seqs!$A:$B,2,FALSE),VLOOKUP($A157,'NonXtal_SegEnds_Prot#'!$A:$AL,22,FALSE)+9,1)</f>
        <v>L</v>
      </c>
      <c r="AA157" s="90" t="str">
        <f>MID(VLOOKUP($A157,Seqs!$A:$B,2,FALSE),VLOOKUP($A157,'NonXtal_SegEnds_Prot#'!$A:$AL,22,FALSE)+10,1)</f>
        <v>P</v>
      </c>
      <c r="AB157" s="64" t="str">
        <f>MID(VLOOKUP($A157,Seqs!$A:$B,2,FALSE),VLOOKUP($A157,'NonXtal_SegEnds_Prot#'!$A:$AL,28,FALSE)-4,1)</f>
        <v>L</v>
      </c>
      <c r="AC157" s="90" t="str">
        <f>MID(VLOOKUP($A157,Seqs!$A:$B,2,FALSE),VLOOKUP($A157,'NonXtal_SegEnds_Prot#'!$A:$AL,28,FALSE),1)</f>
        <v>T</v>
      </c>
    </row>
    <row r="158" spans="1:29" s="2" customFormat="1" x14ac:dyDescent="0.2">
      <c r="A158" s="2" t="s">
        <v>558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64" t="str">
        <f>MID(VLOOKUP($A158,Seqs!$A:$B,2,FALSE),VLOOKUP($A158,'NonXtal_SegEnds_Prot#'!A:AL,10,FALSE),1)</f>
        <v>D</v>
      </c>
      <c r="S158" s="90" t="str">
        <f>MID(VLOOKUP($A158,Seqs!$A:$B,2,FALSE),VLOOKUP($A158,'NonXtal_SegEnds_Prot#'!A:AL,10,FALSE)+6,1)</f>
        <v>I</v>
      </c>
      <c r="T158" s="90" t="str">
        <f>MID(VLOOKUP($A158,Seqs!$A:$B,2,FALSE),VLOOKUP($A158,'NonXtal_SegEnds_Prot#'!A:AL,10,FALSE)+7,1)</f>
        <v>N</v>
      </c>
      <c r="U158" s="90" t="str">
        <f>MID(VLOOKUP($A158,Seqs!$A:$B,2,FALSE),VLOOKUP($A158,'NonXtal_SegEnds_Prot#'!A:AL,10,FALSE)+8,1)</f>
        <v>G</v>
      </c>
      <c r="V158" s="90" t="str">
        <f>MID(VLOOKUP($A158,Seqs!$A:$B,2,FALSE),VLOOKUP($A158,'NonXtal_SegEnds_Prot#'!A:AL,10,FALSE)+9,1)</f>
        <v>A</v>
      </c>
      <c r="W158" s="64" t="str">
        <f>MID(VLOOKUP($A158,Seqs!$A:$B,2,FALSE),VLOOKUP($A158,'NonXtal_SegEnds_Prot#'!$A:$AL,22,FALSE)+6,1)</f>
        <v>I</v>
      </c>
      <c r="X158" s="90" t="str">
        <f>MID(VLOOKUP($A158,Seqs!$A:$B,2,FALSE),VLOOKUP($A158,'NonXtal_SegEnds_Prot#'!$A:$AL,22,FALSE)+7,1)</f>
        <v>A</v>
      </c>
      <c r="Y158" s="90" t="str">
        <f>MID(VLOOKUP($A158,Seqs!$A:$B,2,FALSE),VLOOKUP($A158,'NonXtal_SegEnds_Prot#'!$A:$AL,22,FALSE)+8,1)</f>
        <v>L</v>
      </c>
      <c r="Z158" s="90" t="str">
        <f>MID(VLOOKUP($A158,Seqs!$A:$B,2,FALSE),VLOOKUP($A158,'NonXtal_SegEnds_Prot#'!$A:$AL,22,FALSE)+9,1)</f>
        <v>L</v>
      </c>
      <c r="AA158" s="90" t="str">
        <f>MID(VLOOKUP($A158,Seqs!$A:$B,2,FALSE),VLOOKUP($A158,'NonXtal_SegEnds_Prot#'!$A:$AL,22,FALSE)+10,1)</f>
        <v>P</v>
      </c>
      <c r="AB158" s="64" t="str">
        <f>MID(VLOOKUP($A158,Seqs!$A:$B,2,FALSE),VLOOKUP($A158,'NonXtal_SegEnds_Prot#'!$A:$AL,28,FALSE)-4,1)</f>
        <v>L</v>
      </c>
      <c r="AC158" s="90" t="str">
        <f>MID(VLOOKUP($A158,Seqs!$A:$B,2,FALSE),VLOOKUP($A158,'NonXtal_SegEnds_Prot#'!$A:$AL,28,FALSE),1)</f>
        <v>G</v>
      </c>
    </row>
    <row r="159" spans="1:29" s="2" customFormat="1" x14ac:dyDescent="0.2">
      <c r="A159" s="2" t="s">
        <v>564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64" t="str">
        <f>MID(VLOOKUP($A159,Seqs!$A:$B,2,FALSE),VLOOKUP($A159,'NonXtal_SegEnds_Prot#'!A:AL,10,FALSE),1)</f>
        <v>D</v>
      </c>
      <c r="S159" s="90" t="str">
        <f>MID(VLOOKUP($A159,Seqs!$A:$B,2,FALSE),VLOOKUP($A159,'NonXtal_SegEnds_Prot#'!A:AL,10,FALSE)+6,1)</f>
        <v>T</v>
      </c>
      <c r="T159" s="90" t="str">
        <f>MID(VLOOKUP($A159,Seqs!$A:$B,2,FALSE),VLOOKUP($A159,'NonXtal_SegEnds_Prot#'!A:AL,10,FALSE)+7,1)</f>
        <v>L</v>
      </c>
      <c r="U159" s="90" t="str">
        <f>MID(VLOOKUP($A159,Seqs!$A:$B,2,FALSE),VLOOKUP($A159,'NonXtal_SegEnds_Prot#'!A:AL,10,FALSE)+8,1)</f>
        <v>P</v>
      </c>
      <c r="V159" s="90" t="str">
        <f>MID(VLOOKUP($A159,Seqs!$A:$B,2,FALSE),VLOOKUP($A159,'NonXtal_SegEnds_Prot#'!A:AL,10,FALSE)+9,1)</f>
        <v>L</v>
      </c>
      <c r="W159" s="64" t="str">
        <f>MID(VLOOKUP($A159,Seqs!$A:$B,2,FALSE),VLOOKUP($A159,'NonXtal_SegEnds_Prot#'!$A:$AL,22,FALSE)+6,1)</f>
        <v>A</v>
      </c>
      <c r="X159" s="90" t="str">
        <f>MID(VLOOKUP($A159,Seqs!$A:$B,2,FALSE),VLOOKUP($A159,'NonXtal_SegEnds_Prot#'!$A:$AL,22,FALSE)+7,1)</f>
        <v>A</v>
      </c>
      <c r="Y159" s="90" t="str">
        <f>MID(VLOOKUP($A159,Seqs!$A:$B,2,FALSE),VLOOKUP($A159,'NonXtal_SegEnds_Prot#'!$A:$AL,22,FALSE)+8,1)</f>
        <v>S</v>
      </c>
      <c r="Z159" s="90" t="str">
        <f>MID(VLOOKUP($A159,Seqs!$A:$B,2,FALSE),VLOOKUP($A159,'NonXtal_SegEnds_Prot#'!$A:$AL,22,FALSE)+9,1)</f>
        <v>Y</v>
      </c>
      <c r="AA159" s="90" t="str">
        <f>MID(VLOOKUP($A159,Seqs!$A:$B,2,FALSE),VLOOKUP($A159,'NonXtal_SegEnds_Prot#'!$A:$AL,22,FALSE)+10,1)</f>
        <v>F</v>
      </c>
      <c r="AB159" s="64" t="str">
        <f>MID(VLOOKUP($A159,Seqs!$A:$B,2,FALSE),VLOOKUP($A159,'NonXtal_SegEnds_Prot#'!$A:$AL,28,FALSE)-4,1)</f>
        <v>S</v>
      </c>
      <c r="AC159" s="90" t="str">
        <f>MID(VLOOKUP($A159,Seqs!$A:$B,2,FALSE),VLOOKUP($A159,'NonXtal_SegEnds_Prot#'!$A:$AL,28,FALSE),1)</f>
        <v>V</v>
      </c>
    </row>
    <row r="160" spans="1:29" s="2" customFormat="1" x14ac:dyDescent="0.2">
      <c r="A160" s="2" t="s">
        <v>568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64" t="str">
        <f>MID(VLOOKUP($A160,Seqs!$A:$B,2,FALSE),VLOOKUP($A160,'NonXtal_SegEnds_Prot#'!A:AL,10,FALSE),1)</f>
        <v>D</v>
      </c>
      <c r="S160" s="90" t="str">
        <f>MID(VLOOKUP($A160,Seqs!$A:$B,2,FALSE),VLOOKUP($A160,'NonXtal_SegEnds_Prot#'!A:AL,10,FALSE)+6,1)</f>
        <v>Y</v>
      </c>
      <c r="T160" s="90" t="str">
        <f>MID(VLOOKUP($A160,Seqs!$A:$B,2,FALSE),VLOOKUP($A160,'NonXtal_SegEnds_Prot#'!A:AL,10,FALSE)+7,1)</f>
        <v>L</v>
      </c>
      <c r="U160" s="90" t="str">
        <f>MID(VLOOKUP($A160,Seqs!$A:$B,2,FALSE),VLOOKUP($A160,'NonXtal_SegEnds_Prot#'!A:AL,10,FALSE)+8,1)</f>
        <v>F</v>
      </c>
      <c r="V160" s="90" t="str">
        <f>MID(VLOOKUP($A160,Seqs!$A:$B,2,FALSE),VLOOKUP($A160,'NonXtal_SegEnds_Prot#'!A:AL,10,FALSE)+9,1)</f>
        <v>V</v>
      </c>
      <c r="W160" s="64" t="str">
        <f>MID(VLOOKUP($A160,Seqs!$A:$B,2,FALSE),VLOOKUP($A160,'NonXtal_SegEnds_Prot#'!$A:$AL,22,FALSE)+6,1)</f>
        <v>V</v>
      </c>
      <c r="X160" s="90" t="str">
        <f>MID(VLOOKUP($A160,Seqs!$A:$B,2,FALSE),VLOOKUP($A160,'NonXtal_SegEnds_Prot#'!$A:$AL,22,FALSE)+7,1)</f>
        <v>A</v>
      </c>
      <c r="Y160" s="90" t="str">
        <f>MID(VLOOKUP($A160,Seqs!$A:$B,2,FALSE),VLOOKUP($A160,'NonXtal_SegEnds_Prot#'!$A:$AL,22,FALSE)+8,1)</f>
        <v>F</v>
      </c>
      <c r="Z160" s="90" t="str">
        <f>MID(VLOOKUP($A160,Seqs!$A:$B,2,FALSE),VLOOKUP($A160,'NonXtal_SegEnds_Prot#'!$A:$AL,22,FALSE)+9,1)</f>
        <v>I</v>
      </c>
      <c r="AA160" s="90" t="str">
        <f>MID(VLOOKUP($A160,Seqs!$A:$B,2,FALSE),VLOOKUP($A160,'NonXtal_SegEnds_Prot#'!$A:$AL,22,FALSE)+10,1)</f>
        <v>P</v>
      </c>
      <c r="AB160" s="64" t="str">
        <f>MID(VLOOKUP($A160,Seqs!$A:$B,2,FALSE),VLOOKUP($A160,'NonXtal_SegEnds_Prot#'!$A:$AL,28,FALSE)-4,1)</f>
        <v>I</v>
      </c>
      <c r="AC160" s="90" t="str">
        <f>MID(VLOOKUP($A160,Seqs!$A:$B,2,FALSE),VLOOKUP($A160,'NonXtal_SegEnds_Prot#'!$A:$AL,28,FALSE),1)</f>
        <v>A</v>
      </c>
    </row>
    <row r="161" spans="1:29" s="2" customFormat="1" x14ac:dyDescent="0.2">
      <c r="A161" s="2" t="s">
        <v>569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64" t="str">
        <f>MID(VLOOKUP($A161,Seqs!$A:$B,2,FALSE),VLOOKUP($A161,'NonXtal_SegEnds_Prot#'!A:AL,10,FALSE),1)</f>
        <v>D</v>
      </c>
      <c r="S161" s="90" t="str">
        <f>MID(VLOOKUP($A161,Seqs!$A:$B,2,FALSE),VLOOKUP($A161,'NonXtal_SegEnds_Prot#'!A:AL,10,FALSE)+6,1)</f>
        <v>Y</v>
      </c>
      <c r="T161" s="90" t="str">
        <f>MID(VLOOKUP($A161,Seqs!$A:$B,2,FALSE),VLOOKUP($A161,'NonXtal_SegEnds_Prot#'!A:AL,10,FALSE)+7,1)</f>
        <v>L</v>
      </c>
      <c r="U161" s="90" t="str">
        <f>MID(VLOOKUP($A161,Seqs!$A:$B,2,FALSE),VLOOKUP($A161,'NonXtal_SegEnds_Prot#'!A:AL,10,FALSE)+8,1)</f>
        <v>F</v>
      </c>
      <c r="V161" s="90" t="str">
        <f>MID(VLOOKUP($A161,Seqs!$A:$B,2,FALSE),VLOOKUP($A161,'NonXtal_SegEnds_Prot#'!A:AL,10,FALSE)+9,1)</f>
        <v>F</v>
      </c>
      <c r="W161" s="64" t="str">
        <f>MID(VLOOKUP($A161,Seqs!$A:$B,2,FALSE),VLOOKUP($A161,'NonXtal_SegEnds_Prot#'!$A:$AL,22,FALSE)+6,1)</f>
        <v>I</v>
      </c>
      <c r="X161" s="90" t="str">
        <f>MID(VLOOKUP($A161,Seqs!$A:$B,2,FALSE),VLOOKUP($A161,'NonXtal_SegEnds_Prot#'!$A:$AL,22,FALSE)+7,1)</f>
        <v>A</v>
      </c>
      <c r="Y161" s="90" t="str">
        <f>MID(VLOOKUP($A161,Seqs!$A:$B,2,FALSE),VLOOKUP($A161,'NonXtal_SegEnds_Prot#'!$A:$AL,22,FALSE)+8,1)</f>
        <v>V</v>
      </c>
      <c r="Z161" s="90" t="str">
        <f>MID(VLOOKUP($A161,Seqs!$A:$B,2,FALSE),VLOOKUP($A161,'NonXtal_SegEnds_Prot#'!$A:$AL,22,FALSE)+9,1)</f>
        <v>I</v>
      </c>
      <c r="AA161" s="90" t="str">
        <f>MID(VLOOKUP($A161,Seqs!$A:$B,2,FALSE),VLOOKUP($A161,'NonXtal_SegEnds_Prot#'!$A:$AL,22,FALSE)+10,1)</f>
        <v>P</v>
      </c>
      <c r="AB161" s="64" t="str">
        <f>MID(VLOOKUP($A161,Seqs!$A:$B,2,FALSE),VLOOKUP($A161,'NonXtal_SegEnds_Prot#'!$A:$AL,28,FALSE)-4,1)</f>
        <v>V</v>
      </c>
      <c r="AC161" s="90" t="str">
        <f>MID(VLOOKUP($A161,Seqs!$A:$B,2,FALSE),VLOOKUP($A161,'NonXtal_SegEnds_Prot#'!$A:$AL,28,FALSE),1)</f>
        <v>A</v>
      </c>
    </row>
    <row r="162" spans="1:29" s="2" customFormat="1" x14ac:dyDescent="0.2">
      <c r="A162" s="2" t="s">
        <v>580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64" t="str">
        <f>MID(VLOOKUP($A162,Seqs!$A:$B,2,FALSE),VLOOKUP($A162,'NonXtal_SegEnds_Prot#'!A:AL,10,FALSE),1)</f>
        <v>D</v>
      </c>
      <c r="S162" s="90" t="str">
        <f>MID(VLOOKUP($A162,Seqs!$A:$B,2,FALSE),VLOOKUP($A162,'NonXtal_SegEnds_Prot#'!A:AL,10,FALSE)+6,1)</f>
        <v>L</v>
      </c>
      <c r="T162" s="90" t="str">
        <f>MID(VLOOKUP($A162,Seqs!$A:$B,2,FALSE),VLOOKUP($A162,'NonXtal_SegEnds_Prot#'!A:AL,10,FALSE)+7,1)</f>
        <v>V</v>
      </c>
      <c r="U162" s="90" t="str">
        <f>MID(VLOOKUP($A162,Seqs!$A:$B,2,FALSE),VLOOKUP($A162,'NonXtal_SegEnds_Prot#'!A:AL,10,FALSE)+8,1)</f>
        <v>M</v>
      </c>
      <c r="V162" s="90" t="str">
        <f>MID(VLOOKUP($A162,Seqs!$A:$B,2,FALSE),VLOOKUP($A162,'NonXtal_SegEnds_Prot#'!A:AL,10,FALSE)+9,1)</f>
        <v>P</v>
      </c>
      <c r="W162" s="64" t="str">
        <f>MID(VLOOKUP($A162,Seqs!$A:$B,2,FALSE),VLOOKUP($A162,'NonXtal_SegEnds_Prot#'!$A:$AL,22,FALSE)+6,1)</f>
        <v>F</v>
      </c>
      <c r="X162" s="90" t="str">
        <f>MID(VLOOKUP($A162,Seqs!$A:$B,2,FALSE),VLOOKUP($A162,'NonXtal_SegEnds_Prot#'!$A:$AL,22,FALSE)+7,1)</f>
        <v>A</v>
      </c>
      <c r="Y162" s="90" t="str">
        <f>MID(VLOOKUP($A162,Seqs!$A:$B,2,FALSE),VLOOKUP($A162,'NonXtal_SegEnds_Prot#'!$A:$AL,22,FALSE)+8,1)</f>
        <v>F</v>
      </c>
      <c r="Z162" s="90" t="str">
        <f>MID(VLOOKUP($A162,Seqs!$A:$B,2,FALSE),VLOOKUP($A162,'NonXtal_SegEnds_Prot#'!$A:$AL,22,FALSE)+9,1)</f>
        <v>G</v>
      </c>
      <c r="AA162" s="90" t="str">
        <f>MID(VLOOKUP($A162,Seqs!$A:$B,2,FALSE),VLOOKUP($A162,'NonXtal_SegEnds_Prot#'!$A:$AL,22,FALSE)+10,1)</f>
        <v>M</v>
      </c>
      <c r="AB162" s="64" t="str">
        <f>MID(VLOOKUP($A162,Seqs!$A:$B,2,FALSE),VLOOKUP($A162,'NonXtal_SegEnds_Prot#'!$A:$AL,28,FALSE)-4,1)</f>
        <v>S</v>
      </c>
      <c r="AC162" s="90" t="str">
        <f>MID(VLOOKUP($A162,Seqs!$A:$B,2,FALSE),VLOOKUP($A162,'NonXtal_SegEnds_Prot#'!$A:$AL,28,FALSE),1)</f>
        <v>P</v>
      </c>
    </row>
    <row r="163" spans="1:29" s="2" customFormat="1" x14ac:dyDescent="0.2">
      <c r="A163" s="2" t="s">
        <v>581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64" t="str">
        <f>MID(VLOOKUP($A163,Seqs!$A:$B,2,FALSE),VLOOKUP($A163,'NonXtal_SegEnds_Prot#'!A:AL,10,FALSE),1)</f>
        <v>D</v>
      </c>
      <c r="S163" s="90" t="str">
        <f>MID(VLOOKUP($A163,Seqs!$A:$B,2,FALSE),VLOOKUP($A163,'NonXtal_SegEnds_Prot#'!A:AL,10,FALSE)+6,1)</f>
        <v>T</v>
      </c>
      <c r="T163" s="90" t="str">
        <f>MID(VLOOKUP($A163,Seqs!$A:$B,2,FALSE),VLOOKUP($A163,'NonXtal_SegEnds_Prot#'!A:AL,10,FALSE)+7,1)</f>
        <v>I</v>
      </c>
      <c r="U163" s="90" t="str">
        <f>MID(VLOOKUP($A163,Seqs!$A:$B,2,FALSE),VLOOKUP($A163,'NonXtal_SegEnds_Prot#'!A:AL,10,FALSE)+8,1)</f>
        <v>M</v>
      </c>
      <c r="V163" s="90" t="str">
        <f>MID(VLOOKUP($A163,Seqs!$A:$B,2,FALSE),VLOOKUP($A163,'NonXtal_SegEnds_Prot#'!A:AL,10,FALSE)+9,1)</f>
        <v>P</v>
      </c>
      <c r="W163" s="64" t="str">
        <f>MID(VLOOKUP($A163,Seqs!$A:$B,2,FALSE),VLOOKUP($A163,'NonXtal_SegEnds_Prot#'!$A:$AL,22,FALSE)+6,1)</f>
        <v>F</v>
      </c>
      <c r="X163" s="90" t="str">
        <f>MID(VLOOKUP($A163,Seqs!$A:$B,2,FALSE),VLOOKUP($A163,'NonXtal_SegEnds_Prot#'!$A:$AL,22,FALSE)+7,1)</f>
        <v>A</v>
      </c>
      <c r="Y163" s="90" t="str">
        <f>MID(VLOOKUP($A163,Seqs!$A:$B,2,FALSE),VLOOKUP($A163,'NonXtal_SegEnds_Prot#'!$A:$AL,22,FALSE)+8,1)</f>
        <v>F</v>
      </c>
      <c r="Z163" s="90" t="str">
        <f>MID(VLOOKUP($A163,Seqs!$A:$B,2,FALSE),VLOOKUP($A163,'NonXtal_SegEnds_Prot#'!$A:$AL,22,FALSE)+9,1)</f>
        <v>G</v>
      </c>
      <c r="AA163" s="90" t="str">
        <f>MID(VLOOKUP($A163,Seqs!$A:$B,2,FALSE),VLOOKUP($A163,'NonXtal_SegEnds_Prot#'!$A:$AL,22,FALSE)+10,1)</f>
        <v>V</v>
      </c>
      <c r="AB163" s="64" t="str">
        <f>MID(VLOOKUP($A163,Seqs!$A:$B,2,FALSE),VLOOKUP($A163,'NonXtal_SegEnds_Prot#'!$A:$AL,28,FALSE)-4,1)</f>
        <v>G</v>
      </c>
      <c r="AC163" s="90" t="str">
        <f>MID(VLOOKUP($A163,Seqs!$A:$B,2,FALSE),VLOOKUP($A163,'NonXtal_SegEnds_Prot#'!$A:$AL,28,FALSE),1)</f>
        <v>P</v>
      </c>
    </row>
    <row r="164" spans="1:29" s="2" customFormat="1" x14ac:dyDescent="0.2">
      <c r="A164" s="2" t="s">
        <v>588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64" t="str">
        <f>MID(VLOOKUP($A164,Seqs!$A:$B,2,FALSE),VLOOKUP($A164,'NonXtal_SegEnds_Prot#'!A:AL,10,FALSE),1)</f>
        <v>D</v>
      </c>
      <c r="S164" s="90" t="str">
        <f>MID(VLOOKUP($A164,Seqs!$A:$B,2,FALSE),VLOOKUP($A164,'NonXtal_SegEnds_Prot#'!A:AL,10,FALSE)+6,1)</f>
        <v>Y</v>
      </c>
      <c r="T164" s="90" t="str">
        <f>MID(VLOOKUP($A164,Seqs!$A:$B,2,FALSE),VLOOKUP($A164,'NonXtal_SegEnds_Prot#'!A:AL,10,FALSE)+7,1)</f>
        <v>L</v>
      </c>
      <c r="U164" s="90" t="str">
        <f>MID(VLOOKUP($A164,Seqs!$A:$B,2,FALSE),VLOOKUP($A164,'NonXtal_SegEnds_Prot#'!A:AL,10,FALSE)+8,1)</f>
        <v>L</v>
      </c>
      <c r="V164" s="90" t="str">
        <f>MID(VLOOKUP($A164,Seqs!$A:$B,2,FALSE),VLOOKUP($A164,'NonXtal_SegEnds_Prot#'!A:AL,10,FALSE)+9,1)</f>
        <v>L</v>
      </c>
      <c r="W164" s="64" t="str">
        <f>MID(VLOOKUP($A164,Seqs!$A:$B,2,FALSE),VLOOKUP($A164,'NonXtal_SegEnds_Prot#'!$A:$AL,22,FALSE)+6,1)</f>
        <v>L</v>
      </c>
      <c r="X164" s="90" t="str">
        <f>MID(VLOOKUP($A164,Seqs!$A:$B,2,FALSE),VLOOKUP($A164,'NonXtal_SegEnds_Prot#'!$A:$AL,22,FALSE)+7,1)</f>
        <v>A</v>
      </c>
      <c r="Y164" s="90" t="str">
        <f>MID(VLOOKUP($A164,Seqs!$A:$B,2,FALSE),VLOOKUP($A164,'NonXtal_SegEnds_Prot#'!$A:$AL,22,FALSE)+8,1)</f>
        <v>L</v>
      </c>
      <c r="Z164" s="90" t="str">
        <f>MID(VLOOKUP($A164,Seqs!$A:$B,2,FALSE),VLOOKUP($A164,'NonXtal_SegEnds_Prot#'!$A:$AL,22,FALSE)+9,1)</f>
        <v>L</v>
      </c>
      <c r="AA164" s="90" t="str">
        <f>MID(VLOOKUP($A164,Seqs!$A:$B,2,FALSE),VLOOKUP($A164,'NonXtal_SegEnds_Prot#'!$A:$AL,22,FALSE)+10,1)</f>
        <v>P</v>
      </c>
      <c r="AB164" s="64" t="str">
        <f>MID(VLOOKUP($A164,Seqs!$A:$B,2,FALSE),VLOOKUP($A164,'NonXtal_SegEnds_Prot#'!$A:$AL,28,FALSE)-4,1)</f>
        <v>L</v>
      </c>
      <c r="AC164" s="90" t="str">
        <f>MID(VLOOKUP($A164,Seqs!$A:$B,2,FALSE),VLOOKUP($A164,'NonXtal_SegEnds_Prot#'!$A:$AL,28,FALSE),1)</f>
        <v>A</v>
      </c>
    </row>
    <row r="165" spans="1:29" s="2" customFormat="1" x14ac:dyDescent="0.2">
      <c r="A165" s="2" t="s">
        <v>391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1553</v>
      </c>
      <c r="P165" s="4" t="s">
        <v>51</v>
      </c>
      <c r="R165" s="64" t="str">
        <f>MID(VLOOKUP($A165,Seqs!$A:$B,2,FALSE),VLOOKUP($A165,'NonXtal_SegEnds_Prot#'!A:AL,10,FALSE),1)</f>
        <v>D</v>
      </c>
      <c r="S165" s="90" t="str">
        <f>MID(VLOOKUP($A165,Seqs!$A:$B,2,FALSE),VLOOKUP($A165,'NonXtal_SegEnds_Prot#'!A:AL,10,FALSE)+6,1)</f>
        <v>L</v>
      </c>
      <c r="T165" s="90" t="str">
        <f>MID(VLOOKUP($A165,Seqs!$A:$B,2,FALSE),VLOOKUP($A165,'NonXtal_SegEnds_Prot#'!A:AL,10,FALSE)+7,1)</f>
        <v>L</v>
      </c>
      <c r="U165" s="90" t="str">
        <f>MID(VLOOKUP($A165,Seqs!$A:$B,2,FALSE),VLOOKUP($A165,'NonXtal_SegEnds_Prot#'!A:AL,10,FALSE)+8,1)</f>
        <v>P</v>
      </c>
      <c r="V165" s="90" t="str">
        <f>MID(VLOOKUP($A165,Seqs!$A:$B,2,FALSE),VLOOKUP($A165,'NonXtal_SegEnds_Prot#'!A:AL,10,FALSE)+9,1)</f>
        <v>F</v>
      </c>
      <c r="W165" s="64" t="str">
        <f>MID(VLOOKUP($A165,Seqs!$A:$B,2,FALSE),VLOOKUP($A165,'NonXtal_SegEnds_Prot#'!$A:$AL,22,FALSE)+6,1)</f>
        <v>H</v>
      </c>
      <c r="X165" s="90" t="str">
        <f>MID(VLOOKUP($A165,Seqs!$A:$B,2,FALSE),VLOOKUP($A165,'NonXtal_SegEnds_Prot#'!$A:$AL,22,FALSE)+7,1)</f>
        <v>C</v>
      </c>
      <c r="Y165" s="90" t="str">
        <f>MID(VLOOKUP($A165,Seqs!$A:$B,2,FALSE),VLOOKUP($A165,'NonXtal_SegEnds_Prot#'!$A:$AL,22,FALSE)+8,1)</f>
        <v>T</v>
      </c>
      <c r="Z165" s="90" t="str">
        <f>MID(VLOOKUP($A165,Seqs!$A:$B,2,FALSE),VLOOKUP($A165,'NonXtal_SegEnds_Prot#'!$A:$AL,22,FALSE)+9,1)</f>
        <v>I</v>
      </c>
      <c r="AA165" s="90" t="str">
        <f>MID(VLOOKUP($A165,Seqs!$A:$B,2,FALSE),VLOOKUP($A165,'NonXtal_SegEnds_Prot#'!$A:$AL,22,FALSE)+10,1)</f>
        <v>V</v>
      </c>
      <c r="AB165" s="64" t="str">
        <f>MID(VLOOKUP($A165,Seqs!$A:$B,2,FALSE),VLOOKUP($A165,'NonXtal_SegEnds_Prot#'!$A:$AL,28,FALSE)-4,1)</f>
        <v>L</v>
      </c>
      <c r="AC165" s="90" t="str">
        <f>MID(VLOOKUP($A165,Seqs!$A:$B,2,FALSE),VLOOKUP($A165,'NonXtal_SegEnds_Prot#'!$A:$AL,28,FALSE),1)</f>
        <v>P</v>
      </c>
    </row>
    <row r="166" spans="1:29" s="2" customFormat="1" x14ac:dyDescent="0.2">
      <c r="A166" s="2" t="s">
        <v>392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1553</v>
      </c>
      <c r="P166" s="4" t="s">
        <v>51</v>
      </c>
      <c r="R166" s="64" t="str">
        <f>MID(VLOOKUP($A166,Seqs!$A:$B,2,FALSE),VLOOKUP($A166,'NonXtal_SegEnds_Prot#'!A:AL,10,FALSE),1)</f>
        <v>D</v>
      </c>
      <c r="S166" s="90" t="str">
        <f>MID(VLOOKUP($A166,Seqs!$A:$B,2,FALSE),VLOOKUP($A166,'NonXtal_SegEnds_Prot#'!A:AL,10,FALSE)+6,1)</f>
        <v>F</v>
      </c>
      <c r="T166" s="90" t="str">
        <f>MID(VLOOKUP($A166,Seqs!$A:$B,2,FALSE),VLOOKUP($A166,'NonXtal_SegEnds_Prot#'!A:AL,10,FALSE)+7,1)</f>
        <v>L</v>
      </c>
      <c r="U166" s="90" t="str">
        <f>MID(VLOOKUP($A166,Seqs!$A:$B,2,FALSE),VLOOKUP($A166,'NonXtal_SegEnds_Prot#'!A:AL,10,FALSE)+8,1)</f>
        <v>P</v>
      </c>
      <c r="V166" s="90" t="str">
        <f>MID(VLOOKUP($A166,Seqs!$A:$B,2,FALSE),VLOOKUP($A166,'NonXtal_SegEnds_Prot#'!A:AL,10,FALSE)+9,1)</f>
        <v>F</v>
      </c>
      <c r="W166" s="64" t="str">
        <f>MID(VLOOKUP($A166,Seqs!$A:$B,2,FALSE),VLOOKUP($A166,'NonXtal_SegEnds_Prot#'!$A:$AL,22,FALSE)+6,1)</f>
        <v>H</v>
      </c>
      <c r="X166" s="90" t="str">
        <f>MID(VLOOKUP($A166,Seqs!$A:$B,2,FALSE),VLOOKUP($A166,'NonXtal_SegEnds_Prot#'!$A:$AL,22,FALSE)+7,1)</f>
        <v>C</v>
      </c>
      <c r="Y166" s="90" t="str">
        <f>MID(VLOOKUP($A166,Seqs!$A:$B,2,FALSE),VLOOKUP($A166,'NonXtal_SegEnds_Prot#'!$A:$AL,22,FALSE)+8,1)</f>
        <v>S</v>
      </c>
      <c r="Z166" s="90" t="str">
        <f>MID(VLOOKUP($A166,Seqs!$A:$B,2,FALSE),VLOOKUP($A166,'NonXtal_SegEnds_Prot#'!$A:$AL,22,FALSE)+9,1)</f>
        <v>V</v>
      </c>
      <c r="AA166" s="90" t="str">
        <f>MID(VLOOKUP($A166,Seqs!$A:$B,2,FALSE),VLOOKUP($A166,'NonXtal_SegEnds_Prot#'!$A:$AL,22,FALSE)+10,1)</f>
        <v>V</v>
      </c>
      <c r="AB166" s="64" t="str">
        <f>MID(VLOOKUP($A166,Seqs!$A:$B,2,FALSE),VLOOKUP($A166,'NonXtal_SegEnds_Prot#'!$A:$AL,28,FALSE)-4,1)</f>
        <v>L</v>
      </c>
      <c r="AC166" s="90" t="str">
        <f>MID(VLOOKUP($A166,Seqs!$A:$B,2,FALSE),VLOOKUP($A166,'NonXtal_SegEnds_Prot#'!$A:$AL,28,FALSE),1)</f>
        <v>P</v>
      </c>
    </row>
    <row r="167" spans="1:29" s="2" customFormat="1" x14ac:dyDescent="0.2">
      <c r="A167" s="2" t="s">
        <v>420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64" t="str">
        <f>MID(VLOOKUP($A167,Seqs!$A:$B,2,FALSE),VLOOKUP($A167,'NonXtal_SegEnds_Prot#'!A:AL,10,FALSE),1)</f>
        <v>N</v>
      </c>
      <c r="S167" s="90" t="str">
        <f>MID(VLOOKUP($A167,Seqs!$A:$B,2,FALSE),VLOOKUP($A167,'NonXtal_SegEnds_Prot#'!A:AL,10,FALSE)+6,1)</f>
        <v>L</v>
      </c>
      <c r="T167" s="90" t="str">
        <f>MID(VLOOKUP($A167,Seqs!$A:$B,2,FALSE),VLOOKUP($A167,'NonXtal_SegEnds_Prot#'!A:AL,10,FALSE)+7,1)</f>
        <v>V</v>
      </c>
      <c r="U167" s="90" t="str">
        <f>MID(VLOOKUP($A167,Seqs!$A:$B,2,FALSE),VLOOKUP($A167,'NonXtal_SegEnds_Prot#'!A:AL,10,FALSE)+8,1)</f>
        <v>L</v>
      </c>
      <c r="V167" s="90" t="str">
        <f>MID(VLOOKUP($A167,Seqs!$A:$B,2,FALSE),VLOOKUP($A167,'NonXtal_SegEnds_Prot#'!A:AL,10,FALSE)+9,1)</f>
        <v>P</v>
      </c>
      <c r="W167" s="64" t="str">
        <f>MID(VLOOKUP($A167,Seqs!$A:$B,2,FALSE),VLOOKUP($A167,'NonXtal_SegEnds_Prot#'!$A:$AL,22,FALSE)+6,1)</f>
        <v>G</v>
      </c>
      <c r="X167" s="90" t="str">
        <f>MID(VLOOKUP($A167,Seqs!$A:$B,2,FALSE),VLOOKUP($A167,'NonXtal_SegEnds_Prot#'!$A:$AL,22,FALSE)+7,1)</f>
        <v>C</v>
      </c>
      <c r="Y167" s="90" t="str">
        <f>MID(VLOOKUP($A167,Seqs!$A:$B,2,FALSE),VLOOKUP($A167,'NonXtal_SegEnds_Prot#'!$A:$AL,22,FALSE)+8,1)</f>
        <v>L</v>
      </c>
      <c r="Z167" s="90" t="str">
        <f>MID(VLOOKUP($A167,Seqs!$A:$B,2,FALSE),VLOOKUP($A167,'NonXtal_SegEnds_Prot#'!$A:$AL,22,FALSE)+9,1)</f>
        <v>P</v>
      </c>
      <c r="AA167" s="90" t="str">
        <f>MID(VLOOKUP($A167,Seqs!$A:$B,2,FALSE),VLOOKUP($A167,'NonXtal_SegEnds_Prot#'!$A:$AL,22,FALSE)+10,1)</f>
        <v>P</v>
      </c>
      <c r="AB167" s="64" t="str">
        <f>MID(VLOOKUP($A167,Seqs!$A:$B,2,FALSE),VLOOKUP($A167,'NonXtal_SegEnds_Prot#'!$A:$AL,28,FALSE)-4,1)</f>
        <v>C</v>
      </c>
      <c r="AC167" s="90" t="str">
        <f>MID(VLOOKUP($A167,Seqs!$A:$B,2,FALSE),VLOOKUP($A167,'NonXtal_SegEnds_Prot#'!$A:$AL,28,FALSE),1)</f>
        <v>P</v>
      </c>
    </row>
    <row r="168" spans="1:29" s="2" customFormat="1" x14ac:dyDescent="0.2">
      <c r="A168" s="2" t="s">
        <v>424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64" t="str">
        <f>MID(VLOOKUP($A168,Seqs!$A:$B,2,FALSE),VLOOKUP($A168,'NonXtal_SegEnds_Prot#'!A:AL,10,FALSE),1)</f>
        <v>D</v>
      </c>
      <c r="S168" s="90" t="str">
        <f>MID(VLOOKUP($A168,Seqs!$A:$B,2,FALSE),VLOOKUP($A168,'NonXtal_SegEnds_Prot#'!A:AL,10,FALSE)+6,1)</f>
        <v>S</v>
      </c>
      <c r="T168" s="90" t="str">
        <f>MID(VLOOKUP($A168,Seqs!$A:$B,2,FALSE),VLOOKUP($A168,'NonXtal_SegEnds_Prot#'!A:AL,10,FALSE)+7,1)</f>
        <v>L</v>
      </c>
      <c r="U168" s="90" t="str">
        <f>MID(VLOOKUP($A168,Seqs!$A:$B,2,FALSE),VLOOKUP($A168,'NonXtal_SegEnds_Prot#'!A:AL,10,FALSE)+8,1)</f>
        <v>P</v>
      </c>
      <c r="V168" s="90" t="str">
        <f>MID(VLOOKUP($A168,Seqs!$A:$B,2,FALSE),VLOOKUP($A168,'NonXtal_SegEnds_Prot#'!A:AL,10,FALSE)+9,1)</f>
        <v>L</v>
      </c>
      <c r="W168" s="64" t="str">
        <f>MID(VLOOKUP($A168,Seqs!$A:$B,2,FALSE),VLOOKUP($A168,'NonXtal_SegEnds_Prot#'!$A:$AL,22,FALSE)+6,1)</f>
        <v>A</v>
      </c>
      <c r="X168" s="90" t="str">
        <f>MID(VLOOKUP($A168,Seqs!$A:$B,2,FALSE),VLOOKUP($A168,'NonXtal_SegEnds_Prot#'!$A:$AL,22,FALSE)+7,1)</f>
        <v>C</v>
      </c>
      <c r="Y168" s="90" t="str">
        <f>MID(VLOOKUP($A168,Seqs!$A:$B,2,FALSE),VLOOKUP($A168,'NonXtal_SegEnds_Prot#'!$A:$AL,22,FALSE)+8,1)</f>
        <v>V</v>
      </c>
      <c r="Z168" s="90" t="str">
        <f>MID(VLOOKUP($A168,Seqs!$A:$B,2,FALSE),VLOOKUP($A168,'NonXtal_SegEnds_Prot#'!$A:$AL,22,FALSE)+9,1)</f>
        <v>L</v>
      </c>
      <c r="AA168" s="90" t="str">
        <f>MID(VLOOKUP($A168,Seqs!$A:$B,2,FALSE),VLOOKUP($A168,'NonXtal_SegEnds_Prot#'!$A:$AL,22,FALSE)+10,1)</f>
        <v>F</v>
      </c>
      <c r="AB168" s="64" t="str">
        <f>MID(VLOOKUP($A168,Seqs!$A:$B,2,FALSE),VLOOKUP($A168,'NonXtal_SegEnds_Prot#'!$A:$AL,28,FALSE)-4,1)</f>
        <v>G</v>
      </c>
      <c r="AC168" s="90" t="str">
        <f>MID(VLOOKUP($A168,Seqs!$A:$B,2,FALSE),VLOOKUP($A168,'NonXtal_SegEnds_Prot#'!$A:$AL,28,FALSE),1)</f>
        <v>P</v>
      </c>
    </row>
    <row r="169" spans="1:29" s="2" customFormat="1" x14ac:dyDescent="0.2">
      <c r="A169" s="2" t="s">
        <v>444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64" t="str">
        <f>MID(VLOOKUP($A169,Seqs!$A:$B,2,FALSE),VLOOKUP($A169,'NonXtal_SegEnds_Prot#'!A:AL,10,FALSE),1)</f>
        <v>D</v>
      </c>
      <c r="S169" s="90" t="str">
        <f>MID(VLOOKUP($A169,Seqs!$A:$B,2,FALSE),VLOOKUP($A169,'NonXtal_SegEnds_Prot#'!A:AL,10,FALSE)+6,1)</f>
        <v>S</v>
      </c>
      <c r="T169" s="90" t="str">
        <f>MID(VLOOKUP($A169,Seqs!$A:$B,2,FALSE),VLOOKUP($A169,'NonXtal_SegEnds_Prot#'!A:AL,10,FALSE)+7,1)</f>
        <v>L</v>
      </c>
      <c r="U169" s="90" t="str">
        <f>MID(VLOOKUP($A169,Seqs!$A:$B,2,FALSE),VLOOKUP($A169,'NonXtal_SegEnds_Prot#'!A:AL,10,FALSE)+8,1)</f>
        <v>P</v>
      </c>
      <c r="V169" s="90" t="str">
        <f>MID(VLOOKUP($A169,Seqs!$A:$B,2,FALSE),VLOOKUP($A169,'NonXtal_SegEnds_Prot#'!A:AL,10,FALSE)+9,1)</f>
        <v>I</v>
      </c>
      <c r="W169" s="64" t="str">
        <f>MID(VLOOKUP($A169,Seqs!$A:$B,2,FALSE),VLOOKUP($A169,'NonXtal_SegEnds_Prot#'!$A:$AL,22,FALSE)+6,1)</f>
        <v>L</v>
      </c>
      <c r="X169" s="90" t="str">
        <f>MID(VLOOKUP($A169,Seqs!$A:$B,2,FALSE),VLOOKUP($A169,'NonXtal_SegEnds_Prot#'!$A:$AL,22,FALSE)+7,1)</f>
        <v>C</v>
      </c>
      <c r="Y169" s="90" t="str">
        <f>MID(VLOOKUP($A169,Seqs!$A:$B,2,FALSE),VLOOKUP($A169,'NonXtal_SegEnds_Prot#'!$A:$AL,22,FALSE)+8,1)</f>
        <v>S</v>
      </c>
      <c r="Z169" s="90" t="str">
        <f>MID(VLOOKUP($A169,Seqs!$A:$B,2,FALSE),VLOOKUP($A169,'NonXtal_SegEnds_Prot#'!$A:$AL,22,FALSE)+9,1)</f>
        <v>A</v>
      </c>
      <c r="AA169" s="90" t="str">
        <f>MID(VLOOKUP($A169,Seqs!$A:$B,2,FALSE),VLOOKUP($A169,'NonXtal_SegEnds_Prot#'!$A:$AL,22,FALSE)+10,1)</f>
        <v>H</v>
      </c>
      <c r="AB169" s="64" t="str">
        <f>MID(VLOOKUP($A169,Seqs!$A:$B,2,FALSE),VLOOKUP($A169,'NonXtal_SegEnds_Prot#'!$A:$AL,28,FALSE)-4,1)</f>
        <v>G</v>
      </c>
      <c r="AC169" s="90" t="str">
        <f>MID(VLOOKUP($A169,Seqs!$A:$B,2,FALSE),VLOOKUP($A169,'NonXtal_SegEnds_Prot#'!$A:$AL,28,FALSE),1)</f>
        <v>P</v>
      </c>
    </row>
    <row r="170" spans="1:29" s="2" customFormat="1" x14ac:dyDescent="0.2">
      <c r="A170" s="2" t="s">
        <v>451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1553</v>
      </c>
      <c r="P170" s="4" t="s">
        <v>51</v>
      </c>
      <c r="R170" s="64" t="str">
        <f>MID(VLOOKUP($A170,Seqs!$A:$B,2,FALSE),VLOOKUP($A170,'NonXtal_SegEnds_Prot#'!A:AL,10,FALSE),1)</f>
        <v>D</v>
      </c>
      <c r="S170" s="90" t="str">
        <f>MID(VLOOKUP($A170,Seqs!$A:$B,2,FALSE),VLOOKUP($A170,'NonXtal_SegEnds_Prot#'!A:AL,10,FALSE)+6,1)</f>
        <v>F</v>
      </c>
      <c r="T170" s="90" t="str">
        <f>MID(VLOOKUP($A170,Seqs!$A:$B,2,FALSE),VLOOKUP($A170,'NonXtal_SegEnds_Prot#'!A:AL,10,FALSE)+7,1)</f>
        <v>L</v>
      </c>
      <c r="U170" s="90" t="str">
        <f>MID(VLOOKUP($A170,Seqs!$A:$B,2,FALSE),VLOOKUP($A170,'NonXtal_SegEnds_Prot#'!A:AL,10,FALSE)+8,1)</f>
        <v>P</v>
      </c>
      <c r="V170" s="90" t="str">
        <f>MID(VLOOKUP($A170,Seqs!$A:$B,2,FALSE),VLOOKUP($A170,'NonXtal_SegEnds_Prot#'!A:AL,10,FALSE)+9,1)</f>
        <v>F</v>
      </c>
      <c r="W170" s="64" t="str">
        <f>MID(VLOOKUP($A170,Seqs!$A:$B,2,FALSE),VLOOKUP($A170,'NonXtal_SegEnds_Prot#'!$A:$AL,22,FALSE)+6,1)</f>
        <v>H</v>
      </c>
      <c r="X170" s="90" t="str">
        <f>MID(VLOOKUP($A170,Seqs!$A:$B,2,FALSE),VLOOKUP($A170,'NonXtal_SegEnds_Prot#'!$A:$AL,22,FALSE)+7,1)</f>
        <v>C</v>
      </c>
      <c r="Y170" s="90" t="str">
        <f>MID(VLOOKUP($A170,Seqs!$A:$B,2,FALSE),VLOOKUP($A170,'NonXtal_SegEnds_Prot#'!$A:$AL,22,FALSE)+8,1)</f>
        <v>S</v>
      </c>
      <c r="Z170" s="90" t="str">
        <f>MID(VLOOKUP($A170,Seqs!$A:$B,2,FALSE),VLOOKUP($A170,'NonXtal_SegEnds_Prot#'!$A:$AL,22,FALSE)+9,1)</f>
        <v>V</v>
      </c>
      <c r="AA170" s="90" t="str">
        <f>MID(VLOOKUP($A170,Seqs!$A:$B,2,FALSE),VLOOKUP($A170,'NonXtal_SegEnds_Prot#'!$A:$AL,22,FALSE)+10,1)</f>
        <v>V</v>
      </c>
      <c r="AB170" s="64" t="str">
        <f>MID(VLOOKUP($A170,Seqs!$A:$B,2,FALSE),VLOOKUP($A170,'NonXtal_SegEnds_Prot#'!$A:$AL,28,FALSE)-4,1)</f>
        <v>L</v>
      </c>
      <c r="AC170" s="90" t="str">
        <f>MID(VLOOKUP($A170,Seqs!$A:$B,2,FALSE),VLOOKUP($A170,'NonXtal_SegEnds_Prot#'!$A:$AL,28,FALSE),1)</f>
        <v>P</v>
      </c>
    </row>
    <row r="171" spans="1:29" s="2" customFormat="1" x14ac:dyDescent="0.2">
      <c r="A171" s="2" t="s">
        <v>541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1553</v>
      </c>
      <c r="P171" s="4" t="s">
        <v>51</v>
      </c>
      <c r="R171" s="64" t="str">
        <f>MID(VLOOKUP($A171,Seqs!$A:$B,2,FALSE),VLOOKUP($A171,'NonXtal_SegEnds_Prot#'!A:AL,10,FALSE),1)</f>
        <v>D</v>
      </c>
      <c r="S171" s="90" t="str">
        <f>MID(VLOOKUP($A171,Seqs!$A:$B,2,FALSE),VLOOKUP($A171,'NonXtal_SegEnds_Prot#'!A:AL,10,FALSE)+6,1)</f>
        <v>S</v>
      </c>
      <c r="T171" s="90" t="str">
        <f>MID(VLOOKUP($A171,Seqs!$A:$B,2,FALSE),VLOOKUP($A171,'NonXtal_SegEnds_Prot#'!A:AL,10,FALSE)+7,1)</f>
        <v>L</v>
      </c>
      <c r="U171" s="90" t="str">
        <f>MID(VLOOKUP($A171,Seqs!$A:$B,2,FALSE),VLOOKUP($A171,'NonXtal_SegEnds_Prot#'!A:AL,10,FALSE)+8,1)</f>
        <v>P</v>
      </c>
      <c r="V171" s="90" t="str">
        <f>MID(VLOOKUP($A171,Seqs!$A:$B,2,FALSE),VLOOKUP($A171,'NonXtal_SegEnds_Prot#'!A:AL,10,FALSE)+9,1)</f>
        <v>L</v>
      </c>
      <c r="W171" s="64" t="str">
        <f>MID(VLOOKUP($A171,Seqs!$A:$B,2,FALSE),VLOOKUP($A171,'NonXtal_SegEnds_Prot#'!$A:$AL,22,FALSE)+6,1)</f>
        <v>Q</v>
      </c>
      <c r="X171" s="90" t="str">
        <f>MID(VLOOKUP($A171,Seqs!$A:$B,2,FALSE),VLOOKUP($A171,'NonXtal_SegEnds_Prot#'!$A:$AL,22,FALSE)+7,1)</f>
        <v>C</v>
      </c>
      <c r="Y171" s="90" t="str">
        <f>MID(VLOOKUP($A171,Seqs!$A:$B,2,FALSE),VLOOKUP($A171,'NonXtal_SegEnds_Prot#'!$A:$AL,22,FALSE)+8,1)</f>
        <v>L</v>
      </c>
      <c r="Z171" s="90" t="str">
        <f>MID(VLOOKUP($A171,Seqs!$A:$B,2,FALSE),VLOOKUP($A171,'NonXtal_SegEnds_Prot#'!$A:$AL,22,FALSE)+9,1)</f>
        <v>P</v>
      </c>
      <c r="AA171" s="90" t="str">
        <f>MID(VLOOKUP($A171,Seqs!$A:$B,2,FALSE),VLOOKUP($A171,'NonXtal_SegEnds_Prot#'!$A:$AL,22,FALSE)+10,1)</f>
        <v>T</v>
      </c>
      <c r="AB171" s="64" t="str">
        <f>MID(VLOOKUP($A171,Seqs!$A:$B,2,FALSE),VLOOKUP($A171,'NonXtal_SegEnds_Prot#'!$A:$AL,28,FALSE)-4,1)</f>
        <v>G</v>
      </c>
      <c r="AC171" s="90" t="str">
        <f>MID(VLOOKUP($A171,Seqs!$A:$B,2,FALSE),VLOOKUP($A171,'NonXtal_SegEnds_Prot#'!$A:$AL,28,FALSE),1)</f>
        <v>P</v>
      </c>
    </row>
    <row r="172" spans="1:29" s="2" customFormat="1" x14ac:dyDescent="0.2">
      <c r="A172" s="2" t="s">
        <v>543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1553</v>
      </c>
      <c r="P172" s="4" t="s">
        <v>51</v>
      </c>
      <c r="R172" s="64" t="str">
        <f>MID(VLOOKUP($A172,Seqs!$A:$B,2,FALSE),VLOOKUP($A172,'NonXtal_SegEnds_Prot#'!A:AL,10,FALSE),1)</f>
        <v>D</v>
      </c>
      <c r="S172" s="90" t="str">
        <f>MID(VLOOKUP($A172,Seqs!$A:$B,2,FALSE),VLOOKUP($A172,'NonXtal_SegEnds_Prot#'!A:AL,10,FALSE)+6,1)</f>
        <v>S</v>
      </c>
      <c r="T172" s="90" t="str">
        <f>MID(VLOOKUP($A172,Seqs!$A:$B,2,FALSE),VLOOKUP($A172,'NonXtal_SegEnds_Prot#'!A:AL,10,FALSE)+7,1)</f>
        <v>L</v>
      </c>
      <c r="U172" s="90" t="str">
        <f>MID(VLOOKUP($A172,Seqs!$A:$B,2,FALSE),VLOOKUP($A172,'NonXtal_SegEnds_Prot#'!A:AL,10,FALSE)+8,1)</f>
        <v>P</v>
      </c>
      <c r="V172" s="90" t="str">
        <f>MID(VLOOKUP($A172,Seqs!$A:$B,2,FALSE),VLOOKUP($A172,'NonXtal_SegEnds_Prot#'!A:AL,10,FALSE)+9,1)</f>
        <v>L</v>
      </c>
      <c r="W172" s="64" t="str">
        <f>MID(VLOOKUP($A172,Seqs!$A:$B,2,FALSE),VLOOKUP($A172,'NonXtal_SegEnds_Prot#'!$A:$AL,22,FALSE)+6,1)</f>
        <v>A</v>
      </c>
      <c r="X172" s="90" t="str">
        <f>MID(VLOOKUP($A172,Seqs!$A:$B,2,FALSE),VLOOKUP($A172,'NonXtal_SegEnds_Prot#'!$A:$AL,22,FALSE)+7,1)</f>
        <v>C</v>
      </c>
      <c r="Y172" s="90" t="str">
        <f>MID(VLOOKUP($A172,Seqs!$A:$B,2,FALSE),VLOOKUP($A172,'NonXtal_SegEnds_Prot#'!$A:$AL,22,FALSE)+8,1)</f>
        <v>L</v>
      </c>
      <c r="Z172" s="90" t="str">
        <f>MID(VLOOKUP($A172,Seqs!$A:$B,2,FALSE),VLOOKUP($A172,'NonXtal_SegEnds_Prot#'!$A:$AL,22,FALSE)+9,1)</f>
        <v>P</v>
      </c>
      <c r="AA172" s="90" t="str">
        <f>MID(VLOOKUP($A172,Seqs!$A:$B,2,FALSE),VLOOKUP($A172,'NonXtal_SegEnds_Prot#'!$A:$AL,22,FALSE)+10,1)</f>
        <v>F</v>
      </c>
      <c r="AB172" s="64" t="str">
        <f>MID(VLOOKUP($A172,Seqs!$A:$B,2,FALSE),VLOOKUP($A172,'NonXtal_SegEnds_Prot#'!$A:$AL,28,FALSE)-4,1)</f>
        <v>G</v>
      </c>
      <c r="AC172" s="90" t="str">
        <f>MID(VLOOKUP($A172,Seqs!$A:$B,2,FALSE),VLOOKUP($A172,'NonXtal_SegEnds_Prot#'!$A:$AL,28,FALSE),1)</f>
        <v>P</v>
      </c>
    </row>
    <row r="173" spans="1:29" s="2" customFormat="1" x14ac:dyDescent="0.2">
      <c r="A173" s="2" t="s">
        <v>552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64" t="str">
        <f>MID(VLOOKUP($A173,Seqs!$A:$B,2,FALSE),VLOOKUP($A173,'NonXtal_SegEnds_Prot#'!A:AL,10,FALSE),1)</f>
        <v>D</v>
      </c>
      <c r="S173" s="90" t="str">
        <f>MID(VLOOKUP($A173,Seqs!$A:$B,2,FALSE),VLOOKUP($A173,'NonXtal_SegEnds_Prot#'!A:AL,10,FALSE)+6,1)</f>
        <v>L</v>
      </c>
      <c r="T173" s="90" t="str">
        <f>MID(VLOOKUP($A173,Seqs!$A:$B,2,FALSE),VLOOKUP($A173,'NonXtal_SegEnds_Prot#'!A:AL,10,FALSE)+7,1)</f>
        <v>L</v>
      </c>
      <c r="U173" s="90" t="str">
        <f>MID(VLOOKUP($A173,Seqs!$A:$B,2,FALSE),VLOOKUP($A173,'NonXtal_SegEnds_Prot#'!A:AL,10,FALSE)+8,1)</f>
        <v>S</v>
      </c>
      <c r="V173" s="90" t="str">
        <f>MID(VLOOKUP($A173,Seqs!$A:$B,2,FALSE),VLOOKUP($A173,'NonXtal_SegEnds_Prot#'!A:AL,10,FALSE)+9,1)</f>
        <v>P</v>
      </c>
      <c r="W173" s="64" t="str">
        <f>MID(VLOOKUP($A173,Seqs!$A:$B,2,FALSE),VLOOKUP($A173,'NonXtal_SegEnds_Prot#'!$A:$AL,22,FALSE)+6,1)</f>
        <v>F</v>
      </c>
      <c r="X173" s="90" t="str">
        <f>MID(VLOOKUP($A173,Seqs!$A:$B,2,FALSE),VLOOKUP($A173,'NonXtal_SegEnds_Prot#'!$A:$AL,22,FALSE)+7,1)</f>
        <v>C</v>
      </c>
      <c r="Y173" s="90" t="str">
        <f>MID(VLOOKUP($A173,Seqs!$A:$B,2,FALSE),VLOOKUP($A173,'NonXtal_SegEnds_Prot#'!$A:$AL,22,FALSE)+8,1)</f>
        <v>A</v>
      </c>
      <c r="Z173" s="90" t="str">
        <f>MID(VLOOKUP($A173,Seqs!$A:$B,2,FALSE),VLOOKUP($A173,'NonXtal_SegEnds_Prot#'!$A:$AL,22,FALSE)+9,1)</f>
        <v>L</v>
      </c>
      <c r="AA173" s="90" t="str">
        <f>MID(VLOOKUP($A173,Seqs!$A:$B,2,FALSE),VLOOKUP($A173,'NonXtal_SegEnds_Prot#'!$A:$AL,22,FALSE)+10,1)</f>
        <v>P</v>
      </c>
      <c r="AB173" s="64" t="str">
        <f>MID(VLOOKUP($A173,Seqs!$A:$B,2,FALSE),VLOOKUP($A173,'NonXtal_SegEnds_Prot#'!$A:$AL,28,FALSE)-4,1)</f>
        <v>A</v>
      </c>
      <c r="AC173" s="90" t="str">
        <f>MID(VLOOKUP($A173,Seqs!$A:$B,2,FALSE),VLOOKUP($A173,'NonXtal_SegEnds_Prot#'!$A:$AL,28,FALSE),1)</f>
        <v>L</v>
      </c>
    </row>
    <row r="174" spans="1:29" s="2" customFormat="1" x14ac:dyDescent="0.2">
      <c r="A174" s="2" t="s">
        <v>555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64" t="str">
        <f>MID(VLOOKUP($A174,Seqs!$A:$B,2,FALSE),VLOOKUP($A174,'NonXtal_SegEnds_Prot#'!A:AL,10,FALSE),1)</f>
        <v>D</v>
      </c>
      <c r="S174" s="90" t="str">
        <f>MID(VLOOKUP($A174,Seqs!$A:$B,2,FALSE),VLOOKUP($A174,'NonXtal_SegEnds_Prot#'!A:AL,10,FALSE)+6,1)</f>
        <v>L</v>
      </c>
      <c r="T174" s="90" t="str">
        <f>MID(VLOOKUP($A174,Seqs!$A:$B,2,FALSE),VLOOKUP($A174,'NonXtal_SegEnds_Prot#'!A:AL,10,FALSE)+7,1)</f>
        <v>I</v>
      </c>
      <c r="U174" s="90" t="str">
        <f>MID(VLOOKUP($A174,Seqs!$A:$B,2,FALSE),VLOOKUP($A174,'NonXtal_SegEnds_Prot#'!A:AL,10,FALSE)+8,1)</f>
        <v>S</v>
      </c>
      <c r="V174" s="90" t="str">
        <f>MID(VLOOKUP($A174,Seqs!$A:$B,2,FALSE),VLOOKUP($A174,'NonXtal_SegEnds_Prot#'!A:AL,10,FALSE)+9,1)</f>
        <v>P</v>
      </c>
      <c r="W174" s="64" t="str">
        <f>MID(VLOOKUP($A174,Seqs!$A:$B,2,FALSE),VLOOKUP($A174,'NonXtal_SegEnds_Prot#'!$A:$AL,22,FALSE)+6,1)</f>
        <v>F</v>
      </c>
      <c r="X174" s="90" t="str">
        <f>MID(VLOOKUP($A174,Seqs!$A:$B,2,FALSE),VLOOKUP($A174,'NonXtal_SegEnds_Prot#'!$A:$AL,22,FALSE)+7,1)</f>
        <v>C</v>
      </c>
      <c r="Y174" s="90" t="str">
        <f>MID(VLOOKUP($A174,Seqs!$A:$B,2,FALSE),VLOOKUP($A174,'NonXtal_SegEnds_Prot#'!$A:$AL,22,FALSE)+8,1)</f>
        <v>S</v>
      </c>
      <c r="Z174" s="90" t="str">
        <f>MID(VLOOKUP($A174,Seqs!$A:$B,2,FALSE),VLOOKUP($A174,'NonXtal_SegEnds_Prot#'!$A:$AL,22,FALSE)+9,1)</f>
        <v>L</v>
      </c>
      <c r="AA174" s="90" t="str">
        <f>MID(VLOOKUP($A174,Seqs!$A:$B,2,FALSE),VLOOKUP($A174,'NonXtal_SegEnds_Prot#'!$A:$AL,22,FALSE)+10,1)</f>
        <v>P</v>
      </c>
      <c r="AB174" s="64" t="str">
        <f>MID(VLOOKUP($A174,Seqs!$A:$B,2,FALSE),VLOOKUP($A174,'NonXtal_SegEnds_Prot#'!$A:$AL,28,FALSE)-4,1)</f>
        <v>L</v>
      </c>
      <c r="AC174" s="90" t="str">
        <f>MID(VLOOKUP($A174,Seqs!$A:$B,2,FALSE),VLOOKUP($A174,'NonXtal_SegEnds_Prot#'!$A:$AL,28,FALSE),1)</f>
        <v>V</v>
      </c>
    </row>
    <row r="175" spans="1:29" s="2" customFormat="1" x14ac:dyDescent="0.2">
      <c r="A175" s="2" t="s">
        <v>557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64" t="str">
        <f>MID(VLOOKUP($A175,Seqs!$A:$B,2,FALSE),VLOOKUP($A175,'NonXtal_SegEnds_Prot#'!A:AL,10,FALSE),1)</f>
        <v>D</v>
      </c>
      <c r="S175" s="90" t="str">
        <f>MID(VLOOKUP($A175,Seqs!$A:$B,2,FALSE),VLOOKUP($A175,'NonXtal_SegEnds_Prot#'!A:AL,10,FALSE)+6,1)</f>
        <v>L</v>
      </c>
      <c r="T175" s="90" t="str">
        <f>MID(VLOOKUP($A175,Seqs!$A:$B,2,FALSE),VLOOKUP($A175,'NonXtal_SegEnds_Prot#'!A:AL,10,FALSE)+7,1)</f>
        <v>V</v>
      </c>
      <c r="U175" s="90" t="str">
        <f>MID(VLOOKUP($A175,Seqs!$A:$B,2,FALSE),VLOOKUP($A175,'NonXtal_SegEnds_Prot#'!A:AL,10,FALSE)+8,1)</f>
        <v>S</v>
      </c>
      <c r="V175" s="90" t="str">
        <f>MID(VLOOKUP($A175,Seqs!$A:$B,2,FALSE),VLOOKUP($A175,'NonXtal_SegEnds_Prot#'!A:AL,10,FALSE)+9,1)</f>
        <v>P</v>
      </c>
      <c r="W175" s="64" t="str">
        <f>MID(VLOOKUP($A175,Seqs!$A:$B,2,FALSE),VLOOKUP($A175,'NonXtal_SegEnds_Prot#'!$A:$AL,22,FALSE)+6,1)</f>
        <v>F</v>
      </c>
      <c r="X175" s="90" t="str">
        <f>MID(VLOOKUP($A175,Seqs!$A:$B,2,FALSE),VLOOKUP($A175,'NonXtal_SegEnds_Prot#'!$A:$AL,22,FALSE)+7,1)</f>
        <v>C</v>
      </c>
      <c r="Y175" s="90" t="str">
        <f>MID(VLOOKUP($A175,Seqs!$A:$B,2,FALSE),VLOOKUP($A175,'NonXtal_SegEnds_Prot#'!$A:$AL,22,FALSE)+8,1)</f>
        <v>A</v>
      </c>
      <c r="Z175" s="90" t="str">
        <f>MID(VLOOKUP($A175,Seqs!$A:$B,2,FALSE),VLOOKUP($A175,'NonXtal_SegEnds_Prot#'!$A:$AL,22,FALSE)+9,1)</f>
        <v>L</v>
      </c>
      <c r="AA175" s="90" t="str">
        <f>MID(VLOOKUP($A175,Seqs!$A:$B,2,FALSE),VLOOKUP($A175,'NonXtal_SegEnds_Prot#'!$A:$AL,22,FALSE)+10,1)</f>
        <v>P</v>
      </c>
      <c r="AB175" s="64" t="str">
        <f>MID(VLOOKUP($A175,Seqs!$A:$B,2,FALSE),VLOOKUP($A175,'NonXtal_SegEnds_Prot#'!$A:$AL,28,FALSE)-4,1)</f>
        <v>S</v>
      </c>
      <c r="AC175" s="90" t="str">
        <f>MID(VLOOKUP($A175,Seqs!$A:$B,2,FALSE),VLOOKUP($A175,'NonXtal_SegEnds_Prot#'!$A:$AL,28,FALSE),1)</f>
        <v>L</v>
      </c>
    </row>
    <row r="176" spans="1:29" s="2" customFormat="1" x14ac:dyDescent="0.2">
      <c r="A176" s="2" t="s">
        <v>559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64" t="str">
        <f>MID(VLOOKUP($A176,Seqs!$A:$B,2,FALSE),VLOOKUP($A176,'NonXtal_SegEnds_Prot#'!A:AL,10,FALSE),1)</f>
        <v>D</v>
      </c>
      <c r="S176" s="90" t="str">
        <f>MID(VLOOKUP($A176,Seqs!$A:$B,2,FALSE),VLOOKUP($A176,'NonXtal_SegEnds_Prot#'!A:AL,10,FALSE)+6,1)</f>
        <v>F</v>
      </c>
      <c r="T176" s="90" t="str">
        <f>MID(VLOOKUP($A176,Seqs!$A:$B,2,FALSE),VLOOKUP($A176,'NonXtal_SegEnds_Prot#'!A:AL,10,FALSE)+7,1)</f>
        <v>L</v>
      </c>
      <c r="U176" s="90" t="str">
        <f>MID(VLOOKUP($A176,Seqs!$A:$B,2,FALSE),VLOOKUP($A176,'NonXtal_SegEnds_Prot#'!A:AL,10,FALSE)+8,1)</f>
        <v>S</v>
      </c>
      <c r="V176" s="90" t="str">
        <f>MID(VLOOKUP($A176,Seqs!$A:$B,2,FALSE),VLOOKUP($A176,'NonXtal_SegEnds_Prot#'!A:AL,10,FALSE)+9,1)</f>
        <v>P</v>
      </c>
      <c r="W176" s="64" t="str">
        <f>MID(VLOOKUP($A176,Seqs!$A:$B,2,FALSE),VLOOKUP($A176,'NonXtal_SegEnds_Prot#'!$A:$AL,22,FALSE)+6,1)</f>
        <v>F</v>
      </c>
      <c r="X176" s="90" t="str">
        <f>MID(VLOOKUP($A176,Seqs!$A:$B,2,FALSE),VLOOKUP($A176,'NonXtal_SegEnds_Prot#'!$A:$AL,22,FALSE)+7,1)</f>
        <v>C</v>
      </c>
      <c r="Y176" s="90" t="str">
        <f>MID(VLOOKUP($A176,Seqs!$A:$B,2,FALSE),VLOOKUP($A176,'NonXtal_SegEnds_Prot#'!$A:$AL,22,FALSE)+8,1)</f>
        <v>A</v>
      </c>
      <c r="Z176" s="90" t="str">
        <f>MID(VLOOKUP($A176,Seqs!$A:$B,2,FALSE),VLOOKUP($A176,'NonXtal_SegEnds_Prot#'!$A:$AL,22,FALSE)+9,1)</f>
        <v>L</v>
      </c>
      <c r="AA176" s="90" t="str">
        <f>MID(VLOOKUP($A176,Seqs!$A:$B,2,FALSE),VLOOKUP($A176,'NonXtal_SegEnds_Prot#'!$A:$AL,22,FALSE)+10,1)</f>
        <v>P</v>
      </c>
      <c r="AB176" s="64" t="str">
        <f>MID(VLOOKUP($A176,Seqs!$A:$B,2,FALSE),VLOOKUP($A176,'NonXtal_SegEnds_Prot#'!$A:$AL,28,FALSE)-4,1)</f>
        <v>A</v>
      </c>
      <c r="AC176" s="90" t="str">
        <f>MID(VLOOKUP($A176,Seqs!$A:$B,2,FALSE),VLOOKUP($A176,'NonXtal_SegEnds_Prot#'!$A:$AL,28,FALSE),1)</f>
        <v>A</v>
      </c>
    </row>
    <row r="177" spans="1:29" s="2" customFormat="1" x14ac:dyDescent="0.2">
      <c r="A177" s="2" t="s">
        <v>587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64" t="str">
        <f>MID(VLOOKUP($A177,Seqs!$A:$B,2,FALSE),VLOOKUP($A177,'NonXtal_SegEnds_Prot#'!A:AL,10,FALSE),1)</f>
        <v>D</v>
      </c>
      <c r="S177" s="90" t="str">
        <f>MID(VLOOKUP($A177,Seqs!$A:$B,2,FALSE),VLOOKUP($A177,'NonXtal_SegEnds_Prot#'!A:AL,10,FALSE)+6,1)</f>
        <v>A</v>
      </c>
      <c r="T177" s="90" t="str">
        <f>MID(VLOOKUP($A177,Seqs!$A:$B,2,FALSE),VLOOKUP($A177,'NonXtal_SegEnds_Prot#'!A:AL,10,FALSE)+7,1)</f>
        <v>A</v>
      </c>
      <c r="U177" s="90" t="str">
        <f>MID(VLOOKUP($A177,Seqs!$A:$B,2,FALSE),VLOOKUP($A177,'NonXtal_SegEnds_Prot#'!A:AL,10,FALSE)+8,1)</f>
        <v>G</v>
      </c>
      <c r="V177" s="90" t="str">
        <f>MID(VLOOKUP($A177,Seqs!$A:$B,2,FALSE),VLOOKUP($A177,'NonXtal_SegEnds_Prot#'!A:AL,10,FALSE)+9,1)</f>
        <v>L</v>
      </c>
      <c r="W177" s="64" t="str">
        <f>MID(VLOOKUP($A177,Seqs!$A:$B,2,FALSE),VLOOKUP($A177,'NonXtal_SegEnds_Prot#'!$A:$AL,22,FALSE)+6,1)</f>
        <v>Y</v>
      </c>
      <c r="X177" s="90" t="str">
        <f>MID(VLOOKUP($A177,Seqs!$A:$B,2,FALSE),VLOOKUP($A177,'NonXtal_SegEnds_Prot#'!$A:$AL,22,FALSE)+7,1)</f>
        <v>C</v>
      </c>
      <c r="Y177" s="90" t="str">
        <f>MID(VLOOKUP($A177,Seqs!$A:$B,2,FALSE),VLOOKUP($A177,'NonXtal_SegEnds_Prot#'!$A:$AL,22,FALSE)+8,1)</f>
        <v>M</v>
      </c>
      <c r="Z177" s="90" t="str">
        <f>MID(VLOOKUP($A177,Seqs!$A:$B,2,FALSE),VLOOKUP($A177,'NonXtal_SegEnds_Prot#'!$A:$AL,22,FALSE)+9,1)</f>
        <v>L</v>
      </c>
      <c r="AA177" s="90" t="str">
        <f>MID(VLOOKUP($A177,Seqs!$A:$B,2,FALSE),VLOOKUP($A177,'NonXtal_SegEnds_Prot#'!$A:$AL,22,FALSE)+10,1)</f>
        <v>W</v>
      </c>
      <c r="AB177" s="64" t="str">
        <f>MID(VLOOKUP($A177,Seqs!$A:$B,2,FALSE),VLOOKUP($A177,'NonXtal_SegEnds_Prot#'!$A:$AL,28,FALSE)-4,1)</f>
        <v>F</v>
      </c>
      <c r="AC177" s="90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438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64" t="str">
        <f>MID(VLOOKUP($A178,Seqs!$A:$B,2,FALSE),VLOOKUP($A178,'NonXtal_SegEnds_Prot#'!A:AL,10,FALSE),1)</f>
        <v>D</v>
      </c>
      <c r="S178" s="90" t="str">
        <f>MID(VLOOKUP($A178,Seqs!$A:$B,2,FALSE),VLOOKUP($A178,'NonXtal_SegEnds_Prot#'!A:AL,10,FALSE)+6,1)</f>
        <v>G</v>
      </c>
      <c r="T178" s="90" t="str">
        <f>MID(VLOOKUP($A178,Seqs!$A:$B,2,FALSE),VLOOKUP($A178,'NonXtal_SegEnds_Prot#'!A:AL,10,FALSE)+7,1)</f>
        <v>C</v>
      </c>
      <c r="U178" s="90" t="str">
        <f>MID(VLOOKUP($A178,Seqs!$A:$B,2,FALSE),VLOOKUP($A178,'NonXtal_SegEnds_Prot#'!A:AL,10,FALSE)+8,1)</f>
        <v>I</v>
      </c>
      <c r="V178" s="90" t="str">
        <f>MID(VLOOKUP($A178,Seqs!$A:$B,2,FALSE),VLOOKUP($A178,'NonXtal_SegEnds_Prot#'!A:AL,10,FALSE)+9,1)</f>
        <v>P</v>
      </c>
      <c r="W178" s="64" t="str">
        <f>MID(VLOOKUP($A178,Seqs!$A:$B,2,FALSE),VLOOKUP($A178,'NonXtal_SegEnds_Prot#'!$A:$AL,22,FALSE)+6,1)</f>
        <v>S</v>
      </c>
      <c r="X178" s="90" t="str">
        <f>MID(VLOOKUP($A178,Seqs!$A:$B,2,FALSE),VLOOKUP($A178,'NonXtal_SegEnds_Prot#'!$A:$AL,22,FALSE)+7,1)</f>
        <v>F</v>
      </c>
      <c r="Y178" s="90" t="str">
        <f>MID(VLOOKUP($A178,Seqs!$A:$B,2,FALSE),VLOOKUP($A178,'NonXtal_SegEnds_Prot#'!$A:$AL,22,FALSE)+8,1)</f>
        <v>L</v>
      </c>
      <c r="Z178" s="90" t="str">
        <f>MID(VLOOKUP($A178,Seqs!$A:$B,2,FALSE),VLOOKUP($A178,'NonXtal_SegEnds_Prot#'!$A:$AL,22,FALSE)+9,1)</f>
        <v>I</v>
      </c>
      <c r="AA178" s="90" t="str">
        <f>MID(VLOOKUP($A178,Seqs!$A:$B,2,FALSE),VLOOKUP($A178,'NonXtal_SegEnds_Prot#'!$A:$AL,22,FALSE)+10,1)</f>
        <v>P</v>
      </c>
      <c r="AB178" s="64" t="str">
        <f>MID(VLOOKUP($A178,Seqs!$A:$B,2,FALSE),VLOOKUP($A178,'NonXtal_SegEnds_Prot#'!$A:$AL,28,FALSE)-4,1)</f>
        <v>I</v>
      </c>
      <c r="AC178" s="90" t="str">
        <f>MID(VLOOKUP($A178,Seqs!$A:$B,2,FALSE),VLOOKUP($A178,'NonXtal_SegEnds_Prot#'!$A:$AL,28,FALSE),1)</f>
        <v>T</v>
      </c>
    </row>
    <row r="179" spans="1:29" s="2" customFormat="1" x14ac:dyDescent="0.2">
      <c r="A179" s="2" t="s">
        <v>446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64" t="str">
        <f>MID(VLOOKUP($A179,Seqs!$A:$B,2,FALSE),VLOOKUP($A179,'NonXtal_SegEnds_Prot#'!A:AL,10,FALSE),1)</f>
        <v>D</v>
      </c>
      <c r="S179" s="90" t="str">
        <f>MID(VLOOKUP($A179,Seqs!$A:$B,2,FALSE),VLOOKUP($A179,'NonXtal_SegEnds_Prot#'!A:AL,10,FALSE)+6,1)</f>
        <v>C</v>
      </c>
      <c r="T179" s="90" t="str">
        <f>MID(VLOOKUP($A179,Seqs!$A:$B,2,FALSE),VLOOKUP($A179,'NonXtal_SegEnds_Prot#'!A:AL,10,FALSE)+7,1)</f>
        <v>L</v>
      </c>
      <c r="U179" s="90" t="str">
        <f>MID(VLOOKUP($A179,Seqs!$A:$B,2,FALSE),VLOOKUP($A179,'NonXtal_SegEnds_Prot#'!A:AL,10,FALSE)+8,1)</f>
        <v>P</v>
      </c>
      <c r="V179" s="90" t="str">
        <f>MID(VLOOKUP($A179,Seqs!$A:$B,2,FALSE),VLOOKUP($A179,'NonXtal_SegEnds_Prot#'!A:AL,10,FALSE)+9,1)</f>
        <v>F</v>
      </c>
      <c r="W179" s="64" t="str">
        <f>MID(VLOOKUP($A179,Seqs!$A:$B,2,FALSE),VLOOKUP($A179,'NonXtal_SegEnds_Prot#'!$A:$AL,22,FALSE)+6,1)</f>
        <v>G</v>
      </c>
      <c r="X179" s="90" t="str">
        <f>MID(VLOOKUP($A179,Seqs!$A:$B,2,FALSE),VLOOKUP($A179,'NonXtal_SegEnds_Prot#'!$A:$AL,22,FALSE)+7,1)</f>
        <v>F</v>
      </c>
      <c r="Y179" s="90" t="str">
        <f>MID(VLOOKUP($A179,Seqs!$A:$B,2,FALSE),VLOOKUP($A179,'NonXtal_SegEnds_Prot#'!$A:$AL,22,FALSE)+8,1)</f>
        <v>L</v>
      </c>
      <c r="Z179" s="90" t="str">
        <f>MID(VLOOKUP($A179,Seqs!$A:$B,2,FALSE),VLOOKUP($A179,'NonXtal_SegEnds_Prot#'!$A:$AL,22,FALSE)+9,1)</f>
        <v>T</v>
      </c>
      <c r="AA179" s="90" t="str">
        <f>MID(VLOOKUP($A179,Seqs!$A:$B,2,FALSE),VLOOKUP($A179,'NonXtal_SegEnds_Prot#'!$A:$AL,22,FALSE)+10,1)</f>
        <v>M</v>
      </c>
      <c r="AB179" s="64" t="str">
        <f>MID(VLOOKUP($A179,Seqs!$A:$B,2,FALSE),VLOOKUP($A179,'NonXtal_SegEnds_Prot#'!$A:$AL,28,FALSE)-4,1)</f>
        <v>M</v>
      </c>
      <c r="AC179" s="90" t="str">
        <f>MID(VLOOKUP($A179,Seqs!$A:$B,2,FALSE),VLOOKUP($A179,'NonXtal_SegEnds_Prot#'!$A:$AL,28,FALSE),1)</f>
        <v>I</v>
      </c>
    </row>
    <row r="180" spans="1:29" s="2" customFormat="1" x14ac:dyDescent="0.2">
      <c r="A180" s="2" t="s">
        <v>331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1550</v>
      </c>
      <c r="N180" s="2" t="s">
        <v>43</v>
      </c>
      <c r="P180" s="4" t="s">
        <v>51</v>
      </c>
      <c r="R180" s="64" t="str">
        <f>MID(VLOOKUP($A180,Seqs!$A:$B,2,FALSE),VLOOKUP($A180,'NonXtal_SegEnds_Prot#'!A:AL,10,FALSE),1)</f>
        <v>D</v>
      </c>
      <c r="S180" s="90" t="str">
        <f>MID(VLOOKUP($A180,Seqs!$A:$B,2,FALSE),VLOOKUP($A180,'NonXtal_SegEnds_Prot#'!A:AL,10,FALSE)+6,1)</f>
        <v>L</v>
      </c>
      <c r="T180" s="90" t="str">
        <f>MID(VLOOKUP($A180,Seqs!$A:$B,2,FALSE),VLOOKUP($A180,'NonXtal_SegEnds_Prot#'!A:AL,10,FALSE)+7,1)</f>
        <v>V</v>
      </c>
      <c r="U180" s="90" t="str">
        <f>MID(VLOOKUP($A180,Seqs!$A:$B,2,FALSE),VLOOKUP($A180,'NonXtal_SegEnds_Prot#'!A:AL,10,FALSE)+8,1)</f>
        <v>I</v>
      </c>
      <c r="V180" s="90" t="str">
        <f>MID(VLOOKUP($A180,Seqs!$A:$B,2,FALSE),VLOOKUP($A180,'NonXtal_SegEnds_Prot#'!A:AL,10,FALSE)+9,1)</f>
        <v>P</v>
      </c>
      <c r="W180" s="64" t="str">
        <f>MID(VLOOKUP($A180,Seqs!$A:$B,2,FALSE),VLOOKUP($A180,'NonXtal_SegEnds_Prot#'!$A:$AL,22,FALSE)+6,1)</f>
        <v>V</v>
      </c>
      <c r="X180" s="90" t="str">
        <f>MID(VLOOKUP($A180,Seqs!$A:$B,2,FALSE),VLOOKUP($A180,'NonXtal_SegEnds_Prot#'!$A:$AL,22,FALSE)+7,1)</f>
        <v>G</v>
      </c>
      <c r="Y180" s="90" t="str">
        <f>MID(VLOOKUP($A180,Seqs!$A:$B,2,FALSE),VLOOKUP($A180,'NonXtal_SegEnds_Prot#'!$A:$AL,22,FALSE)+8,1)</f>
        <v>L</v>
      </c>
      <c r="Z180" s="90" t="str">
        <f>MID(VLOOKUP($A180,Seqs!$A:$B,2,FALSE),VLOOKUP($A180,'NonXtal_SegEnds_Prot#'!$A:$AL,22,FALSE)+9,1)</f>
        <v>T</v>
      </c>
      <c r="AA180" s="90" t="str">
        <f>MID(VLOOKUP($A180,Seqs!$A:$B,2,FALSE),VLOOKUP($A180,'NonXtal_SegEnds_Prot#'!$A:$AL,22,FALSE)+10,1)</f>
        <v>P</v>
      </c>
      <c r="AB180" s="64" t="str">
        <f>MID(VLOOKUP($A180,Seqs!$A:$B,2,FALSE),VLOOKUP($A180,'NonXtal_SegEnds_Prot#'!$A:$AL,28,FALSE)-4,1)</f>
        <v>W</v>
      </c>
      <c r="AC180" s="90" t="str">
        <f>MID(VLOOKUP($A180,Seqs!$A:$B,2,FALSE),VLOOKUP($A180,'NonXtal_SegEnds_Prot#'!$A:$AL,28,FALSE),1)</f>
        <v>P</v>
      </c>
    </row>
    <row r="181" spans="1:29" s="2" customFormat="1" x14ac:dyDescent="0.2">
      <c r="A181" s="2" t="s">
        <v>332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1550</v>
      </c>
      <c r="N181" s="2" t="s">
        <v>43</v>
      </c>
      <c r="P181" s="4" t="s">
        <v>51</v>
      </c>
      <c r="R181" s="64" t="str">
        <f>MID(VLOOKUP($A181,Seqs!$A:$B,2,FALSE),VLOOKUP($A181,'NonXtal_SegEnds_Prot#'!A:AL,10,FALSE),1)</f>
        <v>D</v>
      </c>
      <c r="S181" s="90" t="str">
        <f>MID(VLOOKUP($A181,Seqs!$A:$B,2,FALSE),VLOOKUP($A181,'NonXtal_SegEnds_Prot#'!A:AL,10,FALSE)+6,1)</f>
        <v>L</v>
      </c>
      <c r="T181" s="90" t="str">
        <f>MID(VLOOKUP($A181,Seqs!$A:$B,2,FALSE),VLOOKUP($A181,'NonXtal_SegEnds_Prot#'!A:AL,10,FALSE)+7,1)</f>
        <v>A</v>
      </c>
      <c r="U181" s="90" t="str">
        <f>MID(VLOOKUP($A181,Seqs!$A:$B,2,FALSE),VLOOKUP($A181,'NonXtal_SegEnds_Prot#'!A:AL,10,FALSE)+8,1)</f>
        <v>I</v>
      </c>
      <c r="V181" s="90" t="str">
        <f>MID(VLOOKUP($A181,Seqs!$A:$B,2,FALSE),VLOOKUP($A181,'NonXtal_SegEnds_Prot#'!A:AL,10,FALSE)+9,1)</f>
        <v>P</v>
      </c>
      <c r="W181" s="64" t="str">
        <f>MID(VLOOKUP($A181,Seqs!$A:$B,2,FALSE),VLOOKUP($A181,'NonXtal_SegEnds_Prot#'!$A:$AL,22,FALSE)+6,1)</f>
        <v>I</v>
      </c>
      <c r="X181" s="90" t="str">
        <f>MID(VLOOKUP($A181,Seqs!$A:$B,2,FALSE),VLOOKUP($A181,'NonXtal_SegEnds_Prot#'!$A:$AL,22,FALSE)+7,1)</f>
        <v>G</v>
      </c>
      <c r="Y181" s="90" t="str">
        <f>MID(VLOOKUP($A181,Seqs!$A:$B,2,FALSE),VLOOKUP($A181,'NonXtal_SegEnds_Prot#'!$A:$AL,22,FALSE)+8,1)</f>
        <v>L</v>
      </c>
      <c r="Z181" s="90" t="str">
        <f>MID(VLOOKUP($A181,Seqs!$A:$B,2,FALSE),VLOOKUP($A181,'NonXtal_SegEnds_Prot#'!$A:$AL,22,FALSE)+9,1)</f>
        <v>T</v>
      </c>
      <c r="AA181" s="90" t="str">
        <f>MID(VLOOKUP($A181,Seqs!$A:$B,2,FALSE),VLOOKUP($A181,'NonXtal_SegEnds_Prot#'!$A:$AL,22,FALSE)+10,1)</f>
        <v>P</v>
      </c>
      <c r="AB181" s="64" t="str">
        <f>MID(VLOOKUP($A181,Seqs!$A:$B,2,FALSE),VLOOKUP($A181,'NonXtal_SegEnds_Prot#'!$A:$AL,28,FALSE)-4,1)</f>
        <v>C</v>
      </c>
      <c r="AC181" s="90" t="str">
        <f>MID(VLOOKUP($A181,Seqs!$A:$B,2,FALSE),VLOOKUP($A181,'NonXtal_SegEnds_Prot#'!$A:$AL,28,FALSE),1)</f>
        <v>P</v>
      </c>
    </row>
    <row r="182" spans="1:29" s="2" customFormat="1" x14ac:dyDescent="0.2">
      <c r="A182" s="2" t="s">
        <v>333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1550</v>
      </c>
      <c r="N182" s="2" t="s">
        <v>43</v>
      </c>
      <c r="P182" s="4" t="s">
        <v>51</v>
      </c>
      <c r="R182" s="64" t="str">
        <f>MID(VLOOKUP($A182,Seqs!$A:$B,2,FALSE),VLOOKUP($A182,'NonXtal_SegEnds_Prot#'!A:AL,10,FALSE),1)</f>
        <v>D</v>
      </c>
      <c r="S182" s="90" t="str">
        <f>MID(VLOOKUP($A182,Seqs!$A:$B,2,FALSE),VLOOKUP($A182,'NonXtal_SegEnds_Prot#'!A:AL,10,FALSE)+6,1)</f>
        <v>F</v>
      </c>
      <c r="T182" s="90" t="str">
        <f>MID(VLOOKUP($A182,Seqs!$A:$B,2,FALSE),VLOOKUP($A182,'NonXtal_SegEnds_Prot#'!A:AL,10,FALSE)+7,1)</f>
        <v>A</v>
      </c>
      <c r="U182" s="90" t="str">
        <f>MID(VLOOKUP($A182,Seqs!$A:$B,2,FALSE),VLOOKUP($A182,'NonXtal_SegEnds_Prot#'!A:AL,10,FALSE)+8,1)</f>
        <v>I</v>
      </c>
      <c r="V182" s="90" t="str">
        <f>MID(VLOOKUP($A182,Seqs!$A:$B,2,FALSE),VLOOKUP($A182,'NonXtal_SegEnds_Prot#'!A:AL,10,FALSE)+9,1)</f>
        <v>P</v>
      </c>
      <c r="W182" s="64" t="str">
        <f>MID(VLOOKUP($A182,Seqs!$A:$B,2,FALSE),VLOOKUP($A182,'NonXtal_SegEnds_Prot#'!$A:$AL,22,FALSE)+6,1)</f>
        <v>I</v>
      </c>
      <c r="X182" s="90" t="str">
        <f>MID(VLOOKUP($A182,Seqs!$A:$B,2,FALSE),VLOOKUP($A182,'NonXtal_SegEnds_Prot#'!$A:$AL,22,FALSE)+7,1)</f>
        <v>G</v>
      </c>
      <c r="Y182" s="90" t="str">
        <f>MID(VLOOKUP($A182,Seqs!$A:$B,2,FALSE),VLOOKUP($A182,'NonXtal_SegEnds_Prot#'!$A:$AL,22,FALSE)+8,1)</f>
        <v>L</v>
      </c>
      <c r="Z182" s="90" t="str">
        <f>MID(VLOOKUP($A182,Seqs!$A:$B,2,FALSE),VLOOKUP($A182,'NonXtal_SegEnds_Prot#'!$A:$AL,22,FALSE)+9,1)</f>
        <v>T</v>
      </c>
      <c r="AA182" s="90" t="str">
        <f>MID(VLOOKUP($A182,Seqs!$A:$B,2,FALSE),VLOOKUP($A182,'NonXtal_SegEnds_Prot#'!$A:$AL,22,FALSE)+10,1)</f>
        <v>P</v>
      </c>
      <c r="AB182" s="64" t="str">
        <f>MID(VLOOKUP($A182,Seqs!$A:$B,2,FALSE),VLOOKUP($A182,'NonXtal_SegEnds_Prot#'!$A:$AL,28,FALSE)-4,1)</f>
        <v>C</v>
      </c>
      <c r="AC182" s="90" t="str">
        <f>MID(VLOOKUP($A182,Seqs!$A:$B,2,FALSE),VLOOKUP($A182,'NonXtal_SegEnds_Prot#'!$A:$AL,28,FALSE),1)</f>
        <v>P</v>
      </c>
    </row>
    <row r="183" spans="1:29" s="2" customFormat="1" x14ac:dyDescent="0.2">
      <c r="A183" s="2" t="s">
        <v>334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1550</v>
      </c>
      <c r="N183" s="2" t="s">
        <v>43</v>
      </c>
      <c r="P183" s="4" t="s">
        <v>51</v>
      </c>
      <c r="R183" s="64" t="str">
        <f>MID(VLOOKUP($A183,Seqs!$A:$B,2,FALSE),VLOOKUP($A183,'NonXtal_SegEnds_Prot#'!A:AL,10,FALSE),1)</f>
        <v>D</v>
      </c>
      <c r="S183" s="90" t="str">
        <f>MID(VLOOKUP($A183,Seqs!$A:$B,2,FALSE),VLOOKUP($A183,'NonXtal_SegEnds_Prot#'!A:AL,10,FALSE)+6,1)</f>
        <v>L</v>
      </c>
      <c r="T183" s="90" t="str">
        <f>MID(VLOOKUP($A183,Seqs!$A:$B,2,FALSE),VLOOKUP($A183,'NonXtal_SegEnds_Prot#'!A:AL,10,FALSE)+7,1)</f>
        <v>V</v>
      </c>
      <c r="U183" s="90" t="str">
        <f>MID(VLOOKUP($A183,Seqs!$A:$B,2,FALSE),VLOOKUP($A183,'NonXtal_SegEnds_Prot#'!A:AL,10,FALSE)+8,1)</f>
        <v>M</v>
      </c>
      <c r="V183" s="90" t="str">
        <f>MID(VLOOKUP($A183,Seqs!$A:$B,2,FALSE),VLOOKUP($A183,'NonXtal_SegEnds_Prot#'!A:AL,10,FALSE)+9,1)</f>
        <v>P</v>
      </c>
      <c r="W183" s="64" t="str">
        <f>MID(VLOOKUP($A183,Seqs!$A:$B,2,FALSE),VLOOKUP($A183,'NonXtal_SegEnds_Prot#'!$A:$AL,22,FALSE)+6,1)</f>
        <v>V</v>
      </c>
      <c r="X183" s="90" t="str">
        <f>MID(VLOOKUP($A183,Seqs!$A:$B,2,FALSE),VLOOKUP($A183,'NonXtal_SegEnds_Prot#'!$A:$AL,22,FALSE)+7,1)</f>
        <v>G</v>
      </c>
      <c r="Y183" s="90" t="str">
        <f>MID(VLOOKUP($A183,Seqs!$A:$B,2,FALSE),VLOOKUP($A183,'NonXtal_SegEnds_Prot#'!$A:$AL,22,FALSE)+8,1)</f>
        <v>L</v>
      </c>
      <c r="Z183" s="90" t="str">
        <f>MID(VLOOKUP($A183,Seqs!$A:$B,2,FALSE),VLOOKUP($A183,'NonXtal_SegEnds_Prot#'!$A:$AL,22,FALSE)+9,1)</f>
        <v>T</v>
      </c>
      <c r="AA183" s="90" t="str">
        <f>MID(VLOOKUP($A183,Seqs!$A:$B,2,FALSE),VLOOKUP($A183,'NonXtal_SegEnds_Prot#'!$A:$AL,22,FALSE)+10,1)</f>
        <v>P</v>
      </c>
      <c r="AB183" s="64" t="str">
        <f>MID(VLOOKUP($A183,Seqs!$A:$B,2,FALSE),VLOOKUP($A183,'NonXtal_SegEnds_Prot#'!$A:$AL,28,FALSE)-4,1)</f>
        <v>W</v>
      </c>
      <c r="AC183" s="90" t="str">
        <f>MID(VLOOKUP($A183,Seqs!$A:$B,2,FALSE),VLOOKUP($A183,'NonXtal_SegEnds_Prot#'!$A:$AL,28,FALSE),1)</f>
        <v>P</v>
      </c>
    </row>
    <row r="184" spans="1:29" s="2" customFormat="1" x14ac:dyDescent="0.2">
      <c r="A184" s="2" t="s">
        <v>344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64" t="str">
        <f>MID(VLOOKUP($A184,Seqs!$A:$B,2,FALSE),VLOOKUP($A184,'NonXtal_SegEnds_Prot#'!A:AL,10,FALSE),1)</f>
        <v>D</v>
      </c>
      <c r="S184" s="90" t="str">
        <f>MID(VLOOKUP($A184,Seqs!$A:$B,2,FALSE),VLOOKUP($A184,'NonXtal_SegEnds_Prot#'!A:AL,10,FALSE)+6,1)</f>
        <v>Y</v>
      </c>
      <c r="T184" s="90" t="str">
        <f>MID(VLOOKUP($A184,Seqs!$A:$B,2,FALSE),VLOOKUP($A184,'NonXtal_SegEnds_Prot#'!A:AL,10,FALSE)+7,1)</f>
        <v>K</v>
      </c>
      <c r="U184" s="90" t="str">
        <f>MID(VLOOKUP($A184,Seqs!$A:$B,2,FALSE),VLOOKUP($A184,'NonXtal_SegEnds_Prot#'!A:AL,10,FALSE)+8,1)</f>
        <v>I</v>
      </c>
      <c r="V184" s="90" t="str">
        <f>MID(VLOOKUP($A184,Seqs!$A:$B,2,FALSE),VLOOKUP($A184,'NonXtal_SegEnds_Prot#'!A:AL,10,FALSE)+9,1)</f>
        <v>L</v>
      </c>
      <c r="W184" s="64" t="str">
        <f>MID(VLOOKUP($A184,Seqs!$A:$B,2,FALSE),VLOOKUP($A184,'NonXtal_SegEnds_Prot#'!$A:$AL,22,FALSE)+6,1)</f>
        <v>T</v>
      </c>
      <c r="X184" s="90" t="str">
        <f>MID(VLOOKUP($A184,Seqs!$A:$B,2,FALSE),VLOOKUP($A184,'NonXtal_SegEnds_Prot#'!$A:$AL,22,FALSE)+7,1)</f>
        <v>G</v>
      </c>
      <c r="Y184" s="90" t="str">
        <f>MID(VLOOKUP($A184,Seqs!$A:$B,2,FALSE),VLOOKUP($A184,'NonXtal_SegEnds_Prot#'!$A:$AL,22,FALSE)+8,1)</f>
        <v>I</v>
      </c>
      <c r="Z184" s="90" t="str">
        <f>MID(VLOOKUP($A184,Seqs!$A:$B,2,FALSE),VLOOKUP($A184,'NonXtal_SegEnds_Prot#'!$A:$AL,22,FALSE)+9,1)</f>
        <v>T</v>
      </c>
      <c r="AA184" s="90" t="str">
        <f>MID(VLOOKUP($A184,Seqs!$A:$B,2,FALSE),VLOOKUP($A184,'NonXtal_SegEnds_Prot#'!$A:$AL,22,FALSE)+10,1)</f>
        <v>M</v>
      </c>
      <c r="AB184" s="64" t="str">
        <f>MID(VLOOKUP($A184,Seqs!$A:$B,2,FALSE),VLOOKUP($A184,'NonXtal_SegEnds_Prot#'!$A:$AL,28,FALSE)-4,1)</f>
        <v>L</v>
      </c>
      <c r="AC184" s="90" t="str">
        <f>MID(VLOOKUP($A184,Seqs!$A:$B,2,FALSE),VLOOKUP($A184,'NonXtal_SegEnds_Prot#'!$A:$AL,28,FALSE),1)</f>
        <v>M</v>
      </c>
    </row>
    <row r="185" spans="1:29" s="2" customFormat="1" x14ac:dyDescent="0.2">
      <c r="A185" s="2" t="s">
        <v>406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64" t="str">
        <f>MID(VLOOKUP($A185,Seqs!$A:$B,2,FALSE),VLOOKUP($A185,'NonXtal_SegEnds_Prot#'!A:AL,10,FALSE),1)</f>
        <v>D</v>
      </c>
      <c r="S185" s="90" t="str">
        <f>MID(VLOOKUP($A185,Seqs!$A:$B,2,FALSE),VLOOKUP($A185,'NonXtal_SegEnds_Prot#'!A:AL,10,FALSE)+6,1)</f>
        <v>A</v>
      </c>
      <c r="T185" s="90" t="str">
        <f>MID(VLOOKUP($A185,Seqs!$A:$B,2,FALSE),VLOOKUP($A185,'NonXtal_SegEnds_Prot#'!A:AL,10,FALSE)+7,1)</f>
        <v>I</v>
      </c>
      <c r="U185" s="90" t="str">
        <f>MID(VLOOKUP($A185,Seqs!$A:$B,2,FALSE),VLOOKUP($A185,'NonXtal_SegEnds_Prot#'!A:AL,10,FALSE)+8,1)</f>
        <v>S</v>
      </c>
      <c r="V185" s="90" t="str">
        <f>MID(VLOOKUP($A185,Seqs!$A:$B,2,FALSE),VLOOKUP($A185,'NonXtal_SegEnds_Prot#'!A:AL,10,FALSE)+9,1)</f>
        <v>G</v>
      </c>
      <c r="W185" s="64" t="str">
        <f>MID(VLOOKUP($A185,Seqs!$A:$B,2,FALSE),VLOOKUP($A185,'NonXtal_SegEnds_Prot#'!$A:$AL,22,FALSE)+6,1)</f>
        <v>I</v>
      </c>
      <c r="X185" s="90" t="str">
        <f>MID(VLOOKUP($A185,Seqs!$A:$B,2,FALSE),VLOOKUP($A185,'NonXtal_SegEnds_Prot#'!$A:$AL,22,FALSE)+7,1)</f>
        <v>G</v>
      </c>
      <c r="Y185" s="90" t="str">
        <f>MID(VLOOKUP($A185,Seqs!$A:$B,2,FALSE),VLOOKUP($A185,'NonXtal_SegEnds_Prot#'!$A:$AL,22,FALSE)+8,1)</f>
        <v>F</v>
      </c>
      <c r="Z185" s="90" t="str">
        <f>MID(VLOOKUP($A185,Seqs!$A:$B,2,FALSE),VLOOKUP($A185,'NonXtal_SegEnds_Prot#'!$A:$AL,22,FALSE)+9,1)</f>
        <v>L</v>
      </c>
      <c r="AA185" s="90" t="str">
        <f>MID(VLOOKUP($A185,Seqs!$A:$B,2,FALSE),VLOOKUP($A185,'NonXtal_SegEnds_Prot#'!$A:$AL,22,FALSE)+10,1)</f>
        <v>P</v>
      </c>
      <c r="AB185" s="64" t="str">
        <f>MID(VLOOKUP($A185,Seqs!$A:$B,2,FALSE),VLOOKUP($A185,'NonXtal_SegEnds_Prot#'!$A:$AL,28,FALSE)-4,1)</f>
        <v>V</v>
      </c>
      <c r="AC185" s="90" t="str">
        <f>MID(VLOOKUP($A185,Seqs!$A:$B,2,FALSE),VLOOKUP($A185,'NonXtal_SegEnds_Prot#'!$A:$AL,28,FALSE),1)</f>
        <v>P</v>
      </c>
    </row>
    <row r="186" spans="1:29" s="2" customFormat="1" x14ac:dyDescent="0.2">
      <c r="A186" s="2" t="s">
        <v>430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64" t="str">
        <f>MID(VLOOKUP($A186,Seqs!$A:$B,2,FALSE),VLOOKUP($A186,'NonXtal_SegEnds_Prot#'!A:AL,10,FALSE),1)</f>
        <v>D</v>
      </c>
      <c r="S186" s="90" t="str">
        <f>MID(VLOOKUP($A186,Seqs!$A:$B,2,FALSE),VLOOKUP($A186,'NonXtal_SegEnds_Prot#'!A:AL,10,FALSE)+6,1)</f>
        <v>F</v>
      </c>
      <c r="T186" s="90" t="str">
        <f>MID(VLOOKUP($A186,Seqs!$A:$B,2,FALSE),VLOOKUP($A186,'NonXtal_SegEnds_Prot#'!A:AL,10,FALSE)+7,1)</f>
        <v>L</v>
      </c>
      <c r="U186" s="90" t="str">
        <f>MID(VLOOKUP($A186,Seqs!$A:$B,2,FALSE),VLOOKUP($A186,'NonXtal_SegEnds_Prot#'!A:AL,10,FALSE)+8,1)</f>
        <v>P</v>
      </c>
      <c r="V186" s="90" t="str">
        <f>MID(VLOOKUP($A186,Seqs!$A:$B,2,FALSE),VLOOKUP($A186,'NonXtal_SegEnds_Prot#'!A:AL,10,FALSE)+9,1)</f>
        <v>L</v>
      </c>
      <c r="W186" s="64" t="str">
        <f>MID(VLOOKUP($A186,Seqs!$A:$B,2,FALSE),VLOOKUP($A186,'NonXtal_SegEnds_Prot#'!$A:$AL,22,FALSE)+6,1)</f>
        <v>I</v>
      </c>
      <c r="X186" s="90" t="str">
        <f>MID(VLOOKUP($A186,Seqs!$A:$B,2,FALSE),VLOOKUP($A186,'NonXtal_SegEnds_Prot#'!$A:$AL,22,FALSE)+7,1)</f>
        <v>G</v>
      </c>
      <c r="Y186" s="90" t="str">
        <f>MID(VLOOKUP($A186,Seqs!$A:$B,2,FALSE),VLOOKUP($A186,'NonXtal_SegEnds_Prot#'!$A:$AL,22,FALSE)+8,1)</f>
        <v>G</v>
      </c>
      <c r="Z186" s="90" t="str">
        <f>MID(VLOOKUP($A186,Seqs!$A:$B,2,FALSE),VLOOKUP($A186,'NonXtal_SegEnds_Prot#'!$A:$AL,22,FALSE)+9,1)</f>
        <v>P</v>
      </c>
      <c r="AA186" s="90" t="str">
        <f>MID(VLOOKUP($A186,Seqs!$A:$B,2,FALSE),VLOOKUP($A186,'NonXtal_SegEnds_Prot#'!$A:$AL,22,FALSE)+10,1)</f>
        <v>A</v>
      </c>
      <c r="AB186" s="64" t="str">
        <f>MID(VLOOKUP($A186,Seqs!$A:$B,2,FALSE),VLOOKUP($A186,'NonXtal_SegEnds_Prot#'!$A:$AL,28,FALSE)-4,1)</f>
        <v>G</v>
      </c>
      <c r="AC186" s="90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431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64" t="str">
        <f>MID(VLOOKUP($A187,Seqs!$A:$B,2,FALSE),VLOOKUP($A187,'NonXtal_SegEnds_Prot#'!A:AL,10,FALSE),1)</f>
        <v>D</v>
      </c>
      <c r="S187" s="90" t="str">
        <f>MID(VLOOKUP($A187,Seqs!$A:$B,2,FALSE),VLOOKUP($A187,'NonXtal_SegEnds_Prot#'!A:AL,10,FALSE)+6,1)</f>
        <v>G</v>
      </c>
      <c r="T187" s="90" t="str">
        <f>MID(VLOOKUP($A187,Seqs!$A:$B,2,FALSE),VLOOKUP($A187,'NonXtal_SegEnds_Prot#'!A:AL,10,FALSE)+7,1)</f>
        <v>L</v>
      </c>
      <c r="U187" s="90" t="str">
        <f>MID(VLOOKUP($A187,Seqs!$A:$B,2,FALSE),VLOOKUP($A187,'NonXtal_SegEnds_Prot#'!A:AL,10,FALSE)+8,1)</f>
        <v>I</v>
      </c>
      <c r="V187" s="90" t="str">
        <f>MID(VLOOKUP($A187,Seqs!$A:$B,2,FALSE),VLOOKUP($A187,'NonXtal_SegEnds_Prot#'!A:AL,10,FALSE)+9,1)</f>
        <v>T</v>
      </c>
      <c r="W187" s="64" t="str">
        <f>MID(VLOOKUP($A187,Seqs!$A:$B,2,FALSE),VLOOKUP($A187,'NonXtal_SegEnds_Prot#'!$A:$AL,22,FALSE)+6,1)</f>
        <v>L</v>
      </c>
      <c r="X187" s="90" t="str">
        <f>MID(VLOOKUP($A187,Seqs!$A:$B,2,FALSE),VLOOKUP($A187,'NonXtal_SegEnds_Prot#'!$A:$AL,22,FALSE)+7,1)</f>
        <v>G</v>
      </c>
      <c r="Y187" s="90" t="str">
        <f>MID(VLOOKUP($A187,Seqs!$A:$B,2,FALSE),VLOOKUP($A187,'NonXtal_SegEnds_Prot#'!$A:$AL,22,FALSE)+8,1)</f>
        <v>L</v>
      </c>
      <c r="Z187" s="90" t="str">
        <f>MID(VLOOKUP($A187,Seqs!$A:$B,2,FALSE),VLOOKUP($A187,'NonXtal_SegEnds_Prot#'!$A:$AL,22,FALSE)+9,1)</f>
        <v>L</v>
      </c>
      <c r="AA187" s="90" t="str">
        <f>MID(VLOOKUP($A187,Seqs!$A:$B,2,FALSE),VLOOKUP($A187,'NonXtal_SegEnds_Prot#'!$A:$AL,22,FALSE)+10,1)</f>
        <v>P</v>
      </c>
      <c r="AB187" s="64" t="str">
        <f>MID(VLOOKUP($A187,Seqs!$A:$B,2,FALSE),VLOOKUP($A187,'NonXtal_SegEnds_Prot#'!$A:$AL,28,FALSE)-4,1)</f>
        <v>S</v>
      </c>
      <c r="AC187" s="90" t="str">
        <f>MID(VLOOKUP($A187,Seqs!$A:$B,2,FALSE),VLOOKUP($A187,'NonXtal_SegEnds_Prot#'!$A:$AL,28,FALSE),1)</f>
        <v>M</v>
      </c>
    </row>
    <row r="188" spans="1:29" s="2" customFormat="1" x14ac:dyDescent="0.2">
      <c r="A188" s="2" t="s">
        <v>432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64" t="str">
        <f>MID(VLOOKUP($A188,Seqs!$A:$B,2,FALSE),VLOOKUP($A188,'NonXtal_SegEnds_Prot#'!A:AL,10,FALSE),1)</f>
        <v>D</v>
      </c>
      <c r="S188" s="90" t="str">
        <f>MID(VLOOKUP($A188,Seqs!$A:$B,2,FALSE),VLOOKUP($A188,'NonXtal_SegEnds_Prot#'!A:AL,10,FALSE)+6,1)</f>
        <v>T</v>
      </c>
      <c r="T188" s="90" t="str">
        <f>MID(VLOOKUP($A188,Seqs!$A:$B,2,FALSE),VLOOKUP($A188,'NonXtal_SegEnds_Prot#'!A:AL,10,FALSE)+7,1)</f>
        <v>L</v>
      </c>
      <c r="U188" s="90" t="str">
        <f>MID(VLOOKUP($A188,Seqs!$A:$B,2,FALSE),VLOOKUP($A188,'NonXtal_SegEnds_Prot#'!A:AL,10,FALSE)+8,1)</f>
        <v>P</v>
      </c>
      <c r="V188" s="90" t="str">
        <f>MID(VLOOKUP($A188,Seqs!$A:$B,2,FALSE),VLOOKUP($A188,'NonXtal_SegEnds_Prot#'!A:AL,10,FALSE)+9,1)</f>
        <v>L</v>
      </c>
      <c r="W188" s="64" t="str">
        <f>MID(VLOOKUP($A188,Seqs!$A:$B,2,FALSE),VLOOKUP($A188,'NonXtal_SegEnds_Prot#'!$A:$AL,22,FALSE)+6,1)</f>
        <v>L</v>
      </c>
      <c r="X188" s="90" t="str">
        <f>MID(VLOOKUP($A188,Seqs!$A:$B,2,FALSE),VLOOKUP($A188,'NonXtal_SegEnds_Prot#'!$A:$AL,22,FALSE)+7,1)</f>
        <v>G</v>
      </c>
      <c r="Y188" s="90" t="str">
        <f>MID(VLOOKUP($A188,Seqs!$A:$B,2,FALSE),VLOOKUP($A188,'NonXtal_SegEnds_Prot#'!$A:$AL,22,FALSE)+8,1)</f>
        <v>L</v>
      </c>
      <c r="Z188" s="90" t="str">
        <f>MID(VLOOKUP($A188,Seqs!$A:$B,2,FALSE),VLOOKUP($A188,'NonXtal_SegEnds_Prot#'!$A:$AL,22,FALSE)+9,1)</f>
        <v>P</v>
      </c>
      <c r="AA188" s="90" t="str">
        <f>MID(VLOOKUP($A188,Seqs!$A:$B,2,FALSE),VLOOKUP($A188,'NonXtal_SegEnds_Prot#'!$A:$AL,22,FALSE)+10,1)</f>
        <v>T</v>
      </c>
      <c r="AB188" s="64" t="str">
        <f>MID(VLOOKUP($A188,Seqs!$A:$B,2,FALSE),VLOOKUP($A188,'NonXtal_SegEnds_Prot#'!$A:$AL,28,FALSE)-4,1)</f>
        <v>T</v>
      </c>
      <c r="AC188" s="90" t="str">
        <f>MID(VLOOKUP($A188,Seqs!$A:$B,2,FALSE),VLOOKUP($A188,'NonXtal_SegEnds_Prot#'!$A:$AL,28,FALSE),1)</f>
        <v>P</v>
      </c>
    </row>
    <row r="189" spans="1:29" s="2" customFormat="1" x14ac:dyDescent="0.2">
      <c r="A189" s="2" t="s">
        <v>439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64" t="str">
        <f>MID(VLOOKUP($A189,Seqs!$A:$B,2,FALSE),VLOOKUP($A189,'NonXtal_SegEnds_Prot#'!A:AL,10,FALSE),1)</f>
        <v>D</v>
      </c>
      <c r="S189" s="90" t="str">
        <f>MID(VLOOKUP($A189,Seqs!$A:$B,2,FALSE),VLOOKUP($A189,'NonXtal_SegEnds_Prot#'!A:AL,10,FALSE)+6,1)</f>
        <v>T</v>
      </c>
      <c r="T189" s="90" t="str">
        <f>MID(VLOOKUP($A189,Seqs!$A:$B,2,FALSE),VLOOKUP($A189,'NonXtal_SegEnds_Prot#'!A:AL,10,FALSE)+7,1)</f>
        <v>L</v>
      </c>
      <c r="U189" s="90" t="str">
        <f>MID(VLOOKUP($A189,Seqs!$A:$B,2,FALSE),VLOOKUP($A189,'NonXtal_SegEnds_Prot#'!A:AL,10,FALSE)+8,1)</f>
        <v>P</v>
      </c>
      <c r="V189" s="90" t="str">
        <f>MID(VLOOKUP($A189,Seqs!$A:$B,2,FALSE),VLOOKUP($A189,'NonXtal_SegEnds_Prot#'!A:AL,10,FALSE)+9,1)</f>
        <v>L</v>
      </c>
      <c r="W189" s="64" t="str">
        <f>MID(VLOOKUP($A189,Seqs!$A:$B,2,FALSE),VLOOKUP($A189,'NonXtal_SegEnds_Prot#'!$A:$AL,22,FALSE)+6,1)</f>
        <v>A</v>
      </c>
      <c r="X189" s="90" t="str">
        <f>MID(VLOOKUP($A189,Seqs!$A:$B,2,FALSE),VLOOKUP($A189,'NonXtal_SegEnds_Prot#'!$A:$AL,22,FALSE)+7,1)</f>
        <v>G</v>
      </c>
      <c r="Y189" s="90" t="str">
        <f>MID(VLOOKUP($A189,Seqs!$A:$B,2,FALSE),VLOOKUP($A189,'NonXtal_SegEnds_Prot#'!$A:$AL,22,FALSE)+8,1)</f>
        <v>L</v>
      </c>
      <c r="Z189" s="90" t="str">
        <f>MID(VLOOKUP($A189,Seqs!$A:$B,2,FALSE),VLOOKUP($A189,'NonXtal_SegEnds_Prot#'!$A:$AL,22,FALSE)+9,1)</f>
        <v>P</v>
      </c>
      <c r="AA189" s="90" t="str">
        <f>MID(VLOOKUP($A189,Seqs!$A:$B,2,FALSE),VLOOKUP($A189,'NonXtal_SegEnds_Prot#'!$A:$AL,22,FALSE)+10,1)</f>
        <v>S</v>
      </c>
      <c r="AB189" s="64" t="str">
        <f>MID(VLOOKUP($A189,Seqs!$A:$B,2,FALSE),VLOOKUP($A189,'NonXtal_SegEnds_Prot#'!$A:$AL,28,FALSE)-4,1)</f>
        <v>T</v>
      </c>
      <c r="AC189" s="90" t="str">
        <f>MID(VLOOKUP($A189,Seqs!$A:$B,2,FALSE),VLOOKUP($A189,'NonXtal_SegEnds_Prot#'!$A:$AL,28,FALSE),1)</f>
        <v>P</v>
      </c>
    </row>
    <row r="190" spans="1:29" s="2" customFormat="1" x14ac:dyDescent="0.2">
      <c r="A190" s="2" t="s">
        <v>442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64" t="str">
        <f>MID(VLOOKUP($A190,Seqs!$A:$B,2,FALSE),VLOOKUP($A190,'NonXtal_SegEnds_Prot#'!A:AL,10,FALSE),1)</f>
        <v>D</v>
      </c>
      <c r="S190" s="90" t="str">
        <f>MID(VLOOKUP($A190,Seqs!$A:$B,2,FALSE),VLOOKUP($A190,'NonXtal_SegEnds_Prot#'!A:AL,10,FALSE)+6,1)</f>
        <v>G</v>
      </c>
      <c r="T190" s="90" t="str">
        <f>MID(VLOOKUP($A190,Seqs!$A:$B,2,FALSE),VLOOKUP($A190,'NonXtal_SegEnds_Prot#'!A:AL,10,FALSE)+7,1)</f>
        <v>L</v>
      </c>
      <c r="U190" s="90" t="str">
        <f>MID(VLOOKUP($A190,Seqs!$A:$B,2,FALSE),VLOOKUP($A190,'NonXtal_SegEnds_Prot#'!A:AL,10,FALSE)+8,1)</f>
        <v>V</v>
      </c>
      <c r="V190" s="90" t="str">
        <f>MID(VLOOKUP($A190,Seqs!$A:$B,2,FALSE),VLOOKUP($A190,'NonXtal_SegEnds_Prot#'!A:AL,10,FALSE)+9,1)</f>
        <v>L</v>
      </c>
      <c r="W190" s="64" t="str">
        <f>MID(VLOOKUP($A190,Seqs!$A:$B,2,FALSE),VLOOKUP($A190,'NonXtal_SegEnds_Prot#'!$A:$AL,22,FALSE)+6,1)</f>
        <v>L</v>
      </c>
      <c r="X190" s="90" t="str">
        <f>MID(VLOOKUP($A190,Seqs!$A:$B,2,FALSE),VLOOKUP($A190,'NonXtal_SegEnds_Prot#'!$A:$AL,22,FALSE)+7,1)</f>
        <v>G</v>
      </c>
      <c r="Y190" s="90" t="str">
        <f>MID(VLOOKUP($A190,Seqs!$A:$B,2,FALSE),VLOOKUP($A190,'NonXtal_SegEnds_Prot#'!$A:$AL,22,FALSE)+8,1)</f>
        <v>L</v>
      </c>
      <c r="Z190" s="90" t="str">
        <f>MID(VLOOKUP($A190,Seqs!$A:$B,2,FALSE),VLOOKUP($A190,'NonXtal_SegEnds_Prot#'!$A:$AL,22,FALSE)+9,1)</f>
        <v>L</v>
      </c>
      <c r="AA190" s="90" t="str">
        <f>MID(VLOOKUP($A190,Seqs!$A:$B,2,FALSE),VLOOKUP($A190,'NonXtal_SegEnds_Prot#'!$A:$AL,22,FALSE)+10,1)</f>
        <v>P</v>
      </c>
      <c r="AB190" s="64" t="str">
        <f>MID(VLOOKUP($A190,Seqs!$A:$B,2,FALSE),VLOOKUP($A190,'NonXtal_SegEnds_Prot#'!$A:$AL,28,FALSE)-4,1)</f>
        <v>A</v>
      </c>
      <c r="AC190" s="90" t="str">
        <f>MID(VLOOKUP($A190,Seqs!$A:$B,2,FALSE),VLOOKUP($A190,'NonXtal_SegEnds_Prot#'!$A:$AL,28,FALSE),1)</f>
        <v>V</v>
      </c>
    </row>
    <row r="191" spans="1:29" s="2" customFormat="1" x14ac:dyDescent="0.2">
      <c r="A191" s="2" t="s">
        <v>455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64" t="str">
        <f>MID(VLOOKUP($A191,Seqs!$A:$B,2,FALSE),VLOOKUP($A191,'NonXtal_SegEnds_Prot#'!A:AL,10,FALSE),1)</f>
        <v>D</v>
      </c>
      <c r="S191" s="90" t="str">
        <f>MID(VLOOKUP($A191,Seqs!$A:$B,2,FALSE),VLOOKUP($A191,'NonXtal_SegEnds_Prot#'!A:AL,10,FALSE)+6,1)</f>
        <v>G</v>
      </c>
      <c r="T191" s="90" t="str">
        <f>MID(VLOOKUP($A191,Seqs!$A:$B,2,FALSE),VLOOKUP($A191,'NonXtal_SegEnds_Prot#'!A:AL,10,FALSE)+7,1)</f>
        <v>L</v>
      </c>
      <c r="U191" s="90" t="str">
        <f>MID(VLOOKUP($A191,Seqs!$A:$B,2,FALSE),VLOOKUP($A191,'NonXtal_SegEnds_Prot#'!A:AL,10,FALSE)+8,1)</f>
        <v>I</v>
      </c>
      <c r="V191" s="90" t="str">
        <f>MID(VLOOKUP($A191,Seqs!$A:$B,2,FALSE),VLOOKUP($A191,'NonXtal_SegEnds_Prot#'!A:AL,10,FALSE)+9,1)</f>
        <v>L</v>
      </c>
      <c r="W191" s="64" t="str">
        <f>MID(VLOOKUP($A191,Seqs!$A:$B,2,FALSE),VLOOKUP($A191,'NonXtal_SegEnds_Prot#'!$A:$AL,22,FALSE)+6,1)</f>
        <v>L</v>
      </c>
      <c r="X191" s="90" t="str">
        <f>MID(VLOOKUP($A191,Seqs!$A:$B,2,FALSE),VLOOKUP($A191,'NonXtal_SegEnds_Prot#'!$A:$AL,22,FALSE)+7,1)</f>
        <v>G</v>
      </c>
      <c r="Y191" s="90" t="str">
        <f>MID(VLOOKUP($A191,Seqs!$A:$B,2,FALSE),VLOOKUP($A191,'NonXtal_SegEnds_Prot#'!$A:$AL,22,FALSE)+8,1)</f>
        <v>L</v>
      </c>
      <c r="Z191" s="90" t="str">
        <f>MID(VLOOKUP($A191,Seqs!$A:$B,2,FALSE),VLOOKUP($A191,'NonXtal_SegEnds_Prot#'!$A:$AL,22,FALSE)+9,1)</f>
        <v>L</v>
      </c>
      <c r="AA191" s="90" t="str">
        <f>MID(VLOOKUP($A191,Seqs!$A:$B,2,FALSE),VLOOKUP($A191,'NonXtal_SegEnds_Prot#'!$A:$AL,22,FALSE)+10,1)</f>
        <v>P</v>
      </c>
      <c r="AB191" s="64" t="str">
        <f>MID(VLOOKUP($A191,Seqs!$A:$B,2,FALSE),VLOOKUP($A191,'NonXtal_SegEnds_Prot#'!$A:$AL,28,FALSE)-4,1)</f>
        <v>A</v>
      </c>
      <c r="AC191" s="90" t="str">
        <f>MID(VLOOKUP($A191,Seqs!$A:$B,2,FALSE),VLOOKUP($A191,'NonXtal_SegEnds_Prot#'!$A:$AL,28,FALSE),1)</f>
        <v>V</v>
      </c>
    </row>
    <row r="192" spans="1:29" s="2" customFormat="1" x14ac:dyDescent="0.2">
      <c r="A192" s="2" t="s">
        <v>457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64" t="str">
        <f>MID(VLOOKUP($A192,Seqs!$A:$B,2,FALSE),VLOOKUP($A192,'NonXtal_SegEnds_Prot#'!A:AL,10,FALSE),1)</f>
        <v>D</v>
      </c>
      <c r="S192" s="90" t="str">
        <f>MID(VLOOKUP($A192,Seqs!$A:$B,2,FALSE),VLOOKUP($A192,'NonXtal_SegEnds_Prot#'!A:AL,10,FALSE)+6,1)</f>
        <v>S</v>
      </c>
      <c r="T192" s="90" t="str">
        <f>MID(VLOOKUP($A192,Seqs!$A:$B,2,FALSE),VLOOKUP($A192,'NonXtal_SegEnds_Prot#'!A:AL,10,FALSE)+7,1)</f>
        <v>I</v>
      </c>
      <c r="U192" s="90" t="str">
        <f>MID(VLOOKUP($A192,Seqs!$A:$B,2,FALSE),VLOOKUP($A192,'NonXtal_SegEnds_Prot#'!A:AL,10,FALSE)+8,1)</f>
        <v>M</v>
      </c>
      <c r="V192" s="90" t="str">
        <f>MID(VLOOKUP($A192,Seqs!$A:$B,2,FALSE),VLOOKUP($A192,'NonXtal_SegEnds_Prot#'!A:AL,10,FALSE)+9,1)</f>
        <v>P</v>
      </c>
      <c r="W192" s="64" t="str">
        <f>MID(VLOOKUP($A192,Seqs!$A:$B,2,FALSE),VLOOKUP($A192,'NonXtal_SegEnds_Prot#'!$A:$AL,22,FALSE)+6,1)</f>
        <v>L</v>
      </c>
      <c r="X192" s="90" t="str">
        <f>MID(VLOOKUP($A192,Seqs!$A:$B,2,FALSE),VLOOKUP($A192,'NonXtal_SegEnds_Prot#'!$A:$AL,22,FALSE)+7,1)</f>
        <v>G</v>
      </c>
      <c r="Y192" s="90" t="str">
        <f>MID(VLOOKUP($A192,Seqs!$A:$B,2,FALSE),VLOOKUP($A192,'NonXtal_SegEnds_Prot#'!$A:$AL,22,FALSE)+8,1)</f>
        <v>A</v>
      </c>
      <c r="Z192" s="90" t="str">
        <f>MID(VLOOKUP($A192,Seqs!$A:$B,2,FALSE),VLOOKUP($A192,'NonXtal_SegEnds_Prot#'!$A:$AL,22,FALSE)+9,1)</f>
        <v>L</v>
      </c>
      <c r="AA192" s="90" t="str">
        <f>MID(VLOOKUP($A192,Seqs!$A:$B,2,FALSE),VLOOKUP($A192,'NonXtal_SegEnds_Prot#'!$A:$AL,22,FALSE)+10,1)</f>
        <v>S</v>
      </c>
      <c r="AB192" s="64" t="str">
        <f>MID(VLOOKUP($A192,Seqs!$A:$B,2,FALSE),VLOOKUP($A192,'NonXtal_SegEnds_Prot#'!$A:$AL,28,FALSE)-4,1)</f>
        <v>A</v>
      </c>
      <c r="AC192" s="90" t="str">
        <f>MID(VLOOKUP($A192,Seqs!$A:$B,2,FALSE),VLOOKUP($A192,'NonXtal_SegEnds_Prot#'!$A:$AL,28,FALSE),1)</f>
        <v>P</v>
      </c>
    </row>
    <row r="193" spans="1:29" s="2" customFormat="1" x14ac:dyDescent="0.2">
      <c r="A193" s="2" t="s">
        <v>476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64" t="str">
        <f>MID(VLOOKUP($A193,Seqs!$A:$B,2,FALSE),VLOOKUP($A193,'NonXtal_SegEnds_Prot#'!A:AL,10,FALSE),1)</f>
        <v>N</v>
      </c>
      <c r="S193" s="90" t="str">
        <f>MID(VLOOKUP($A193,Seqs!$A:$B,2,FALSE),VLOOKUP($A193,'NonXtal_SegEnds_Prot#'!A:AL,10,FALSE)+6,1)</f>
        <v>Y</v>
      </c>
      <c r="T193" s="90" t="str">
        <f>MID(VLOOKUP($A193,Seqs!$A:$B,2,FALSE),VLOOKUP($A193,'NonXtal_SegEnds_Prot#'!A:AL,10,FALSE)+7,1)</f>
        <v>T</v>
      </c>
      <c r="U193" s="90" t="str">
        <f>MID(VLOOKUP($A193,Seqs!$A:$B,2,FALSE),VLOOKUP($A193,'NonXtal_SegEnds_Prot#'!A:AL,10,FALSE)+8,1)</f>
        <v>G</v>
      </c>
      <c r="V193" s="90" t="str">
        <f>MID(VLOOKUP($A193,Seqs!$A:$B,2,FALSE),VLOOKUP($A193,'NonXtal_SegEnds_Prot#'!A:AL,10,FALSE)+9,1)</f>
        <v>I</v>
      </c>
      <c r="W193" s="64" t="str">
        <f>MID(VLOOKUP($A193,Seqs!$A:$B,2,FALSE),VLOOKUP($A193,'NonXtal_SegEnds_Prot#'!$A:$AL,22,FALSE)+6,1)</f>
        <v>A</v>
      </c>
      <c r="X193" s="90" t="str">
        <f>MID(VLOOKUP($A193,Seqs!$A:$B,2,FALSE),VLOOKUP($A193,'NonXtal_SegEnds_Prot#'!$A:$AL,22,FALSE)+7,1)</f>
        <v>G</v>
      </c>
      <c r="Y193" s="90" t="str">
        <f>MID(VLOOKUP($A193,Seqs!$A:$B,2,FALSE),VLOOKUP($A193,'NonXtal_SegEnds_Prot#'!$A:$AL,22,FALSE)+8,1)</f>
        <v>C</v>
      </c>
      <c r="Z193" s="90" t="str">
        <f>MID(VLOOKUP($A193,Seqs!$A:$B,2,FALSE),VLOOKUP($A193,'NonXtal_SegEnds_Prot#'!$A:$AL,22,FALSE)+9,1)</f>
        <v>F</v>
      </c>
      <c r="AA193" s="90" t="str">
        <f>MID(VLOOKUP($A193,Seqs!$A:$B,2,FALSE),VLOOKUP($A193,'NonXtal_SegEnds_Prot#'!$A:$AL,22,FALSE)+10,1)</f>
        <v>P</v>
      </c>
      <c r="AB193" s="64" t="str">
        <f>MID(VLOOKUP($A193,Seqs!$A:$B,2,FALSE),VLOOKUP($A193,'NonXtal_SegEnds_Prot#'!$A:$AL,28,FALSE)-4,1)</f>
        <v>L</v>
      </c>
      <c r="AC193" s="90" t="str">
        <f>MID(VLOOKUP($A193,Seqs!$A:$B,2,FALSE),VLOOKUP($A193,'NonXtal_SegEnds_Prot#'!$A:$AL,28,FALSE),1)</f>
        <v>A</v>
      </c>
    </row>
    <row r="194" spans="1:29" s="2" customFormat="1" x14ac:dyDescent="0.2">
      <c r="A194" s="2" t="s">
        <v>296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64" t="str">
        <f>MID(VLOOKUP($A194,Seqs!$A:$B,2,FALSE),VLOOKUP($A194,'NonXtal_SegEnds_Prot#'!A:AL,10,FALSE),1)</f>
        <v>D</v>
      </c>
      <c r="S194" s="90" t="str">
        <f>MID(VLOOKUP($A194,Seqs!$A:$B,2,FALSE),VLOOKUP($A194,'NonXtal_SegEnds_Prot#'!A:AL,10,FALSE)+6,1)</f>
        <v>A</v>
      </c>
      <c r="T194" s="90" t="str">
        <f>MID(VLOOKUP($A194,Seqs!$A:$B,2,FALSE),VLOOKUP($A194,'NonXtal_SegEnds_Prot#'!A:AL,10,FALSE)+7,1)</f>
        <v>Y</v>
      </c>
      <c r="U194" s="90" t="str">
        <f>MID(VLOOKUP($A194,Seqs!$A:$B,2,FALSE),VLOOKUP($A194,'NonXtal_SegEnds_Prot#'!A:AL,10,FALSE)+8,1)</f>
        <v>F</v>
      </c>
      <c r="V194" s="90" t="str">
        <f>MID(VLOOKUP($A194,Seqs!$A:$B,2,FALSE),VLOOKUP($A194,'NonXtal_SegEnds_Prot#'!A:AL,10,FALSE)+9,1)</f>
        <v>Y</v>
      </c>
      <c r="W194" s="64" t="str">
        <f>MID(VLOOKUP($A194,Seqs!$A:$B,2,FALSE),VLOOKUP($A194,'NonXtal_SegEnds_Prot#'!$A:$AL,22,FALSE)+6,1)</f>
        <v>M</v>
      </c>
      <c r="X194" s="90" t="str">
        <f>MID(VLOOKUP($A194,Seqs!$A:$B,2,FALSE),VLOOKUP($A194,'NonXtal_SegEnds_Prot#'!$A:$AL,22,FALSE)+7,1)</f>
        <v>G</v>
      </c>
      <c r="Y194" s="90" t="str">
        <f>MID(VLOOKUP($A194,Seqs!$A:$B,2,FALSE),VLOOKUP($A194,'NonXtal_SegEnds_Prot#'!$A:$AL,22,FALSE)+8,1)</f>
        <v>A</v>
      </c>
      <c r="Z194" s="90" t="str">
        <f>MID(VLOOKUP($A194,Seqs!$A:$B,2,FALSE),VLOOKUP($A194,'NonXtal_SegEnds_Prot#'!$A:$AL,22,FALSE)+9,1)</f>
        <v>I</v>
      </c>
      <c r="AA194" s="90" t="str">
        <f>MID(VLOOKUP($A194,Seqs!$A:$B,2,FALSE),VLOOKUP($A194,'NonXtal_SegEnds_Prot#'!$A:$AL,22,FALSE)+10,1)</f>
        <v>P</v>
      </c>
      <c r="AB194" s="64" t="str">
        <f>MID(VLOOKUP($A194,Seqs!$A:$B,2,FALSE),VLOOKUP($A194,'NonXtal_SegEnds_Prot#'!$A:$AL,28,FALSE)-4,1)</f>
        <v>F</v>
      </c>
      <c r="AC194" s="90" t="str">
        <f>MID(VLOOKUP($A194,Seqs!$A:$B,2,FALSE),VLOOKUP($A194,'NonXtal_SegEnds_Prot#'!$A:$AL,28,FALSE),1)</f>
        <v>T</v>
      </c>
    </row>
    <row r="195" spans="1:29" s="2" customFormat="1" x14ac:dyDescent="0.2">
      <c r="A195" s="2" t="s">
        <v>479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64" t="str">
        <f>MID(VLOOKUP($A195,Seqs!$A:$B,2,FALSE),VLOOKUP($A195,'NonXtal_SegEnds_Prot#'!A:AL,10,FALSE),1)</f>
        <v>D</v>
      </c>
      <c r="S195" s="90" t="str">
        <f>MID(VLOOKUP($A195,Seqs!$A:$B,2,FALSE),VLOOKUP($A195,'NonXtal_SegEnds_Prot#'!A:AL,10,FALSE)+6,1)</f>
        <v>A</v>
      </c>
      <c r="T195" s="90" t="str">
        <f>MID(VLOOKUP($A195,Seqs!$A:$B,2,FALSE),VLOOKUP($A195,'NonXtal_SegEnds_Prot#'!A:AL,10,FALSE)+7,1)</f>
        <v>Y</v>
      </c>
      <c r="U195" s="90" t="str">
        <f>MID(VLOOKUP($A195,Seqs!$A:$B,2,FALSE),VLOOKUP($A195,'NonXtal_SegEnds_Prot#'!A:AL,10,FALSE)+8,1)</f>
        <v>L</v>
      </c>
      <c r="V195" s="90" t="str">
        <f>MID(VLOOKUP($A195,Seqs!$A:$B,2,FALSE),VLOOKUP($A195,'NonXtal_SegEnds_Prot#'!A:AL,10,FALSE)+9,1)</f>
        <v>F</v>
      </c>
      <c r="W195" s="64" t="str">
        <f>MID(VLOOKUP($A195,Seqs!$A:$B,2,FALSE),VLOOKUP($A195,'NonXtal_SegEnds_Prot#'!$A:$AL,22,FALSE)+6,1)</f>
        <v>L</v>
      </c>
      <c r="X195" s="90" t="str">
        <f>MID(VLOOKUP($A195,Seqs!$A:$B,2,FALSE),VLOOKUP($A195,'NonXtal_SegEnds_Prot#'!$A:$AL,22,FALSE)+7,1)</f>
        <v>G</v>
      </c>
      <c r="Y195" s="90" t="str">
        <f>MID(VLOOKUP($A195,Seqs!$A:$B,2,FALSE),VLOOKUP($A195,'NonXtal_SegEnds_Prot#'!$A:$AL,22,FALSE)+8,1)</f>
        <v>L</v>
      </c>
      <c r="Z195" s="90" t="str">
        <f>MID(VLOOKUP($A195,Seqs!$A:$B,2,FALSE),VLOOKUP($A195,'NonXtal_SegEnds_Prot#'!$A:$AL,22,FALSE)+9,1)</f>
        <v>L</v>
      </c>
      <c r="AA195" s="90" t="str">
        <f>MID(VLOOKUP($A195,Seqs!$A:$B,2,FALSE),VLOOKUP($A195,'NonXtal_SegEnds_Prot#'!$A:$AL,22,FALSE)+10,1)</f>
        <v>P</v>
      </c>
      <c r="AB195" s="64" t="str">
        <f>MID(VLOOKUP($A195,Seqs!$A:$B,2,FALSE),VLOOKUP($A195,'NonXtal_SegEnds_Prot#'!$A:$AL,28,FALSE)-4,1)</f>
        <v>S</v>
      </c>
      <c r="AC195" s="90" t="str">
        <f>MID(VLOOKUP($A195,Seqs!$A:$B,2,FALSE),VLOOKUP($A195,'NonXtal_SegEnds_Prot#'!$A:$AL,28,FALSE),1)</f>
        <v>V</v>
      </c>
    </row>
    <row r="196" spans="1:29" s="2" customFormat="1" x14ac:dyDescent="0.2">
      <c r="A196" s="2" t="s">
        <v>480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64" t="str">
        <f>MID(VLOOKUP($A196,Seqs!$A:$B,2,FALSE),VLOOKUP($A196,'NonXtal_SegEnds_Prot#'!A:AL,10,FALSE),1)</f>
        <v>D</v>
      </c>
      <c r="S196" s="90" t="str">
        <f>MID(VLOOKUP($A196,Seqs!$A:$B,2,FALSE),VLOOKUP($A196,'NonXtal_SegEnds_Prot#'!A:AL,10,FALSE)+6,1)</f>
        <v>A</v>
      </c>
      <c r="T196" s="90" t="str">
        <f>MID(VLOOKUP($A196,Seqs!$A:$B,2,FALSE),VLOOKUP($A196,'NonXtal_SegEnds_Prot#'!A:AL,10,FALSE)+7,1)</f>
        <v>Y</v>
      </c>
      <c r="U196" s="90" t="str">
        <f>MID(VLOOKUP($A196,Seqs!$A:$B,2,FALSE),VLOOKUP($A196,'NonXtal_SegEnds_Prot#'!A:AL,10,FALSE)+8,1)</f>
        <v>V</v>
      </c>
      <c r="V196" s="90" t="str">
        <f>MID(VLOOKUP($A196,Seqs!$A:$B,2,FALSE),VLOOKUP($A196,'NonXtal_SegEnds_Prot#'!A:AL,10,FALSE)+9,1)</f>
        <v>F</v>
      </c>
      <c r="W196" s="64" t="str">
        <f>MID(VLOOKUP($A196,Seqs!$A:$B,2,FALSE),VLOOKUP($A196,'NonXtal_SegEnds_Prot#'!$A:$AL,22,FALSE)+6,1)</f>
        <v>M</v>
      </c>
      <c r="X196" s="90" t="str">
        <f>MID(VLOOKUP($A196,Seqs!$A:$B,2,FALSE),VLOOKUP($A196,'NonXtal_SegEnds_Prot#'!$A:$AL,22,FALSE)+7,1)</f>
        <v>G</v>
      </c>
      <c r="Y196" s="90" t="str">
        <f>MID(VLOOKUP($A196,Seqs!$A:$B,2,FALSE),VLOOKUP($A196,'NonXtal_SegEnds_Prot#'!$A:$AL,22,FALSE)+8,1)</f>
        <v>A</v>
      </c>
      <c r="Z196" s="90" t="str">
        <f>MID(VLOOKUP($A196,Seqs!$A:$B,2,FALSE),VLOOKUP($A196,'NonXtal_SegEnds_Prot#'!$A:$AL,22,FALSE)+9,1)</f>
        <v>V</v>
      </c>
      <c r="AA196" s="90" t="str">
        <f>MID(VLOOKUP($A196,Seqs!$A:$B,2,FALSE),VLOOKUP($A196,'NonXtal_SegEnds_Prot#'!$A:$AL,22,FALSE)+10,1)</f>
        <v>P</v>
      </c>
      <c r="AB196" s="64" t="str">
        <f>MID(VLOOKUP($A196,Seqs!$A:$B,2,FALSE),VLOOKUP($A196,'NonXtal_SegEnds_Prot#'!$A:$AL,28,FALSE)-4,1)</f>
        <v>S</v>
      </c>
      <c r="AC196" s="90" t="str">
        <f>MID(VLOOKUP($A196,Seqs!$A:$B,2,FALSE),VLOOKUP($A196,'NonXtal_SegEnds_Prot#'!$A:$AL,28,FALSE),1)</f>
        <v>A</v>
      </c>
    </row>
    <row r="197" spans="1:29" s="2" customFormat="1" x14ac:dyDescent="0.2">
      <c r="A197" s="2" t="s">
        <v>481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64" t="str">
        <f>MID(VLOOKUP($A197,Seqs!$A:$B,2,FALSE),VLOOKUP($A197,'NonXtal_SegEnds_Prot#'!A:AL,10,FALSE),1)</f>
        <v>D</v>
      </c>
      <c r="S197" s="90" t="str">
        <f>MID(VLOOKUP($A197,Seqs!$A:$B,2,FALSE),VLOOKUP($A197,'NonXtal_SegEnds_Prot#'!A:AL,10,FALSE)+6,1)</f>
        <v>T</v>
      </c>
      <c r="T197" s="90" t="str">
        <f>MID(VLOOKUP($A197,Seqs!$A:$B,2,FALSE),VLOOKUP($A197,'NonXtal_SegEnds_Prot#'!A:AL,10,FALSE)+7,1)</f>
        <v>L</v>
      </c>
      <c r="U197" s="90" t="str">
        <f>MID(VLOOKUP($A197,Seqs!$A:$B,2,FALSE),VLOOKUP($A197,'NonXtal_SegEnds_Prot#'!A:AL,10,FALSE)+8,1)</f>
        <v>P</v>
      </c>
      <c r="V197" s="90" t="str">
        <f>MID(VLOOKUP($A197,Seqs!$A:$B,2,FALSE),VLOOKUP($A197,'NonXtal_SegEnds_Prot#'!A:AL,10,FALSE)+9,1)</f>
        <v>F</v>
      </c>
      <c r="W197" s="64" t="str">
        <f>MID(VLOOKUP($A197,Seqs!$A:$B,2,FALSE),VLOOKUP($A197,'NonXtal_SegEnds_Prot#'!$A:$AL,22,FALSE)+6,1)</f>
        <v>G</v>
      </c>
      <c r="X197" s="90" t="str">
        <f>MID(VLOOKUP($A197,Seqs!$A:$B,2,FALSE),VLOOKUP($A197,'NonXtal_SegEnds_Prot#'!$A:$AL,22,FALSE)+7,1)</f>
        <v>G</v>
      </c>
      <c r="Y197" s="90" t="str">
        <f>MID(VLOOKUP($A197,Seqs!$A:$B,2,FALSE),VLOOKUP($A197,'NonXtal_SegEnds_Prot#'!$A:$AL,22,FALSE)+8,1)</f>
        <v>I</v>
      </c>
      <c r="Z197" s="90" t="str">
        <f>MID(VLOOKUP($A197,Seqs!$A:$B,2,FALSE),VLOOKUP($A197,'NonXtal_SegEnds_Prot#'!$A:$AL,22,FALSE)+9,1)</f>
        <v>S</v>
      </c>
      <c r="AA197" s="90" t="str">
        <f>MID(VLOOKUP($A197,Seqs!$A:$B,2,FALSE),VLOOKUP($A197,'NonXtal_SegEnds_Prot#'!$A:$AL,22,FALSE)+10,1)</f>
        <v>A</v>
      </c>
      <c r="AB197" s="64" t="str">
        <f>MID(VLOOKUP($A197,Seqs!$A:$B,2,FALSE),VLOOKUP($A197,'NonXtal_SegEnds_Prot#'!$A:$AL,28,FALSE)-4,1)</f>
        <v>G</v>
      </c>
      <c r="AC197" s="90" t="str">
        <f>MID(VLOOKUP($A197,Seqs!$A:$B,2,FALSE),VLOOKUP($A197,'NonXtal_SegEnds_Prot#'!$A:$AL,28,FALSE),1)</f>
        <v>P</v>
      </c>
    </row>
    <row r="198" spans="1:29" s="2" customFormat="1" x14ac:dyDescent="0.2">
      <c r="A198" s="2" t="s">
        <v>489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64" t="str">
        <f>MID(VLOOKUP($A198,Seqs!$A:$B,2,FALSE),VLOOKUP($A198,'NonXtal_SegEnds_Prot#'!A:AL,10,FALSE),1)</f>
        <v>D</v>
      </c>
      <c r="S198" s="90" t="str">
        <f>MID(VLOOKUP($A198,Seqs!$A:$B,2,FALSE),VLOOKUP($A198,'NonXtal_SegEnds_Prot#'!A:AL,10,FALSE)+6,1)</f>
        <v>S</v>
      </c>
      <c r="T198" s="90" t="str">
        <f>MID(VLOOKUP($A198,Seqs!$A:$B,2,FALSE),VLOOKUP($A198,'NonXtal_SegEnds_Prot#'!A:AL,10,FALSE)+7,1)</f>
        <v>N</v>
      </c>
      <c r="U198" s="90" t="str">
        <f>MID(VLOOKUP($A198,Seqs!$A:$B,2,FALSE),VLOOKUP($A198,'NonXtal_SegEnds_Prot#'!A:AL,10,FALSE)+8,1)</f>
        <v>A</v>
      </c>
      <c r="V198" s="90" t="str">
        <f>MID(VLOOKUP($A198,Seqs!$A:$B,2,FALSE),VLOOKUP($A198,'NonXtal_SegEnds_Prot#'!A:AL,10,FALSE)+9,1)</f>
        <v>L</v>
      </c>
      <c r="W198" s="64" t="str">
        <f>MID(VLOOKUP($A198,Seqs!$A:$B,2,FALSE),VLOOKUP($A198,'NonXtal_SegEnds_Prot#'!$A:$AL,22,FALSE)+6,1)</f>
        <v>C</v>
      </c>
      <c r="X198" s="90" t="str">
        <f>MID(VLOOKUP($A198,Seqs!$A:$B,2,FALSE),VLOOKUP($A198,'NonXtal_SegEnds_Prot#'!$A:$AL,22,FALSE)+7,1)</f>
        <v>G</v>
      </c>
      <c r="Y198" s="90" t="str">
        <f>MID(VLOOKUP($A198,Seqs!$A:$B,2,FALSE),VLOOKUP($A198,'NonXtal_SegEnds_Prot#'!$A:$AL,22,FALSE)+8,1)</f>
        <v>V</v>
      </c>
      <c r="Z198" s="90" t="str">
        <f>MID(VLOOKUP($A198,Seqs!$A:$B,2,FALSE),VLOOKUP($A198,'NonXtal_SegEnds_Prot#'!$A:$AL,22,FALSE)+9,1)</f>
        <v>V</v>
      </c>
      <c r="AA198" s="90" t="str">
        <f>MID(VLOOKUP($A198,Seqs!$A:$B,2,FALSE),VLOOKUP($A198,'NonXtal_SegEnds_Prot#'!$A:$AL,22,FALSE)+10,1)</f>
        <v>F</v>
      </c>
      <c r="AB198" s="64" t="str">
        <f>MID(VLOOKUP($A198,Seqs!$A:$B,2,FALSE),VLOOKUP($A198,'NonXtal_SegEnds_Prot#'!$A:$AL,28,FALSE)-4,1)</f>
        <v>M</v>
      </c>
      <c r="AC198" s="90" t="str">
        <f>MID(VLOOKUP($A198,Seqs!$A:$B,2,FALSE),VLOOKUP($A198,'NonXtal_SegEnds_Prot#'!$A:$AL,28,FALSE),1)</f>
        <v>M</v>
      </c>
    </row>
    <row r="199" spans="1:29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64" t="str">
        <f>MID(VLOOKUP($A199,Seqs!$A:$B,2,FALSE),VLOOKUP($A199,'NonXtal_SegEnds_Prot#'!A:AL,10,FALSE),1)</f>
        <v>D</v>
      </c>
      <c r="S199" s="90" t="str">
        <f>MID(VLOOKUP($A199,Seqs!$A:$B,2,FALSE),VLOOKUP($A199,'NonXtal_SegEnds_Prot#'!A:AL,10,FALSE)+6,1)</f>
        <v>S</v>
      </c>
      <c r="T199" s="90" t="str">
        <f>MID(VLOOKUP($A199,Seqs!$A:$B,2,FALSE),VLOOKUP($A199,'NonXtal_SegEnds_Prot#'!A:AL,10,FALSE)+7,1)</f>
        <v>N</v>
      </c>
      <c r="U199" s="90" t="str">
        <f>MID(VLOOKUP($A199,Seqs!$A:$B,2,FALSE),VLOOKUP($A199,'NonXtal_SegEnds_Prot#'!A:AL,10,FALSE)+8,1)</f>
        <v>G</v>
      </c>
      <c r="V199" s="90" t="str">
        <f>MID(VLOOKUP($A199,Seqs!$A:$B,2,FALSE),VLOOKUP($A199,'NonXtal_SegEnds_Prot#'!A:AL,10,FALSE)+9,1)</f>
        <v>S</v>
      </c>
      <c r="W199" s="64" t="str">
        <f>MID(VLOOKUP($A199,Seqs!$A:$B,2,FALSE),VLOOKUP($A199,'NonXtal_SegEnds_Prot#'!$A:$AL,22,FALSE)+6,1)</f>
        <v>S</v>
      </c>
      <c r="X199" s="90" t="str">
        <f>MID(VLOOKUP($A199,Seqs!$A:$B,2,FALSE),VLOOKUP($A199,'NonXtal_SegEnds_Prot#'!$A:$AL,22,FALSE)+7,1)</f>
        <v>G</v>
      </c>
      <c r="Y199" s="90" t="str">
        <f>MID(VLOOKUP($A199,Seqs!$A:$B,2,FALSE),VLOOKUP($A199,'NonXtal_SegEnds_Prot#'!$A:$AL,22,FALSE)+8,1)</f>
        <v>I</v>
      </c>
      <c r="Z199" s="90" t="str">
        <f>MID(VLOOKUP($A199,Seqs!$A:$B,2,FALSE),VLOOKUP($A199,'NonXtal_SegEnds_Prot#'!$A:$AL,22,FALSE)+9,1)</f>
        <v>L</v>
      </c>
      <c r="AA199" s="90" t="str">
        <f>MID(VLOOKUP($A199,Seqs!$A:$B,2,FALSE),VLOOKUP($A199,'NonXtal_SegEnds_Prot#'!$A:$AL,22,FALSE)+10,1)</f>
        <v>F</v>
      </c>
      <c r="AB199" s="64" t="str">
        <f>MID(VLOOKUP($A199,Seqs!$A:$B,2,FALSE),VLOOKUP($A199,'NonXtal_SegEnds_Prot#'!$A:$AL,28,FALSE)-4,1)</f>
        <v>M</v>
      </c>
      <c r="AC199" s="90" t="str">
        <f>MID(VLOOKUP($A199,Seqs!$A:$B,2,FALSE),VLOOKUP($A199,'NonXtal_SegEnds_Prot#'!$A:$AL,28,FALSE),1)</f>
        <v>M</v>
      </c>
    </row>
    <row r="200" spans="1:29" s="2" customFormat="1" x14ac:dyDescent="0.2">
      <c r="A200" s="2" t="s">
        <v>491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64" t="str">
        <f>MID(VLOOKUP($A200,Seqs!$A:$B,2,FALSE),VLOOKUP($A200,'NonXtal_SegEnds_Prot#'!A:AL,10,FALSE),1)</f>
        <v>D</v>
      </c>
      <c r="S200" s="90" t="str">
        <f>MID(VLOOKUP($A200,Seqs!$A:$B,2,FALSE),VLOOKUP($A200,'NonXtal_SegEnds_Prot#'!A:AL,10,FALSE)+6,1)</f>
        <v>S</v>
      </c>
      <c r="T200" s="90" t="str">
        <f>MID(VLOOKUP($A200,Seqs!$A:$B,2,FALSE),VLOOKUP($A200,'NonXtal_SegEnds_Prot#'!A:AL,10,FALSE)+7,1)</f>
        <v>S</v>
      </c>
      <c r="U200" s="90" t="str">
        <f>MID(VLOOKUP($A200,Seqs!$A:$B,2,FALSE),VLOOKUP($A200,'NonXtal_SegEnds_Prot#'!A:AL,10,FALSE)+8,1)</f>
        <v>A</v>
      </c>
      <c r="V200" s="90" t="str">
        <f>MID(VLOOKUP($A200,Seqs!$A:$B,2,FALSE),VLOOKUP($A200,'NonXtal_SegEnds_Prot#'!A:AL,10,FALSE)+9,1)</f>
        <v>W</v>
      </c>
      <c r="W200" s="64" t="str">
        <f>MID(VLOOKUP($A200,Seqs!$A:$B,2,FALSE),VLOOKUP($A200,'NonXtal_SegEnds_Prot#'!$A:$AL,22,FALSE)+6,1)</f>
        <v>C</v>
      </c>
      <c r="X200" s="90" t="str">
        <f>MID(VLOOKUP($A200,Seqs!$A:$B,2,FALSE),VLOOKUP($A200,'NonXtal_SegEnds_Prot#'!$A:$AL,22,FALSE)+7,1)</f>
        <v>G</v>
      </c>
      <c r="Y200" s="90" t="str">
        <f>MID(VLOOKUP($A200,Seqs!$A:$B,2,FALSE),VLOOKUP($A200,'NonXtal_SegEnds_Prot#'!$A:$AL,22,FALSE)+8,1)</f>
        <v>I</v>
      </c>
      <c r="Z200" s="90" t="str">
        <f>MID(VLOOKUP($A200,Seqs!$A:$B,2,FALSE),VLOOKUP($A200,'NonXtal_SegEnds_Prot#'!$A:$AL,22,FALSE)+9,1)</f>
        <v>V</v>
      </c>
      <c r="AA200" s="90" t="str">
        <f>MID(VLOOKUP($A200,Seqs!$A:$B,2,FALSE),VLOOKUP($A200,'NonXtal_SegEnds_Prot#'!$A:$AL,22,FALSE)+10,1)</f>
        <v>F</v>
      </c>
      <c r="AB200" s="64" t="str">
        <f>MID(VLOOKUP($A200,Seqs!$A:$B,2,FALSE),VLOOKUP($A200,'NonXtal_SegEnds_Prot#'!$A:$AL,28,FALSE)-4,1)</f>
        <v>M</v>
      </c>
      <c r="AC200" s="90" t="str">
        <f>MID(VLOOKUP($A200,Seqs!$A:$B,2,FALSE),VLOOKUP($A200,'NonXtal_SegEnds_Prot#'!$A:$AL,28,FALSE),1)</f>
        <v>M</v>
      </c>
    </row>
    <row r="201" spans="1:29" s="2" customFormat="1" x14ac:dyDescent="0.2">
      <c r="A201" s="2" t="s">
        <v>528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64" t="str">
        <f>MID(VLOOKUP($A201,Seqs!$A:$B,2,FALSE),VLOOKUP($A201,'NonXtal_SegEnds_Prot#'!A:AL,10,FALSE),1)</f>
        <v>D</v>
      </c>
      <c r="S201" s="90" t="str">
        <f>MID(VLOOKUP($A201,Seqs!$A:$B,2,FALSE),VLOOKUP($A201,'NonXtal_SegEnds_Prot#'!A:AL,10,FALSE)+6,1)</f>
        <v>T</v>
      </c>
      <c r="T201" s="90" t="str">
        <f>MID(VLOOKUP($A201,Seqs!$A:$B,2,FALSE),VLOOKUP($A201,'NonXtal_SegEnds_Prot#'!A:AL,10,FALSE)+7,1)</f>
        <v>L</v>
      </c>
      <c r="U201" s="90" t="str">
        <f>MID(VLOOKUP($A201,Seqs!$A:$B,2,FALSE),VLOOKUP($A201,'NonXtal_SegEnds_Prot#'!A:AL,10,FALSE)+8,1)</f>
        <v>P</v>
      </c>
      <c r="V201" s="90" t="str">
        <f>MID(VLOOKUP($A201,Seqs!$A:$B,2,FALSE),VLOOKUP($A201,'NonXtal_SegEnds_Prot#'!A:AL,10,FALSE)+9,1)</f>
        <v>F</v>
      </c>
      <c r="W201" s="64" t="str">
        <f>MID(VLOOKUP($A201,Seqs!$A:$B,2,FALSE),VLOOKUP($A201,'NonXtal_SegEnds_Prot#'!$A:$AL,22,FALSE)+6,1)</f>
        <v>V</v>
      </c>
      <c r="X201" s="90" t="str">
        <f>MID(VLOOKUP($A201,Seqs!$A:$B,2,FALSE),VLOOKUP($A201,'NonXtal_SegEnds_Prot#'!$A:$AL,22,FALSE)+7,1)</f>
        <v>G</v>
      </c>
      <c r="Y201" s="90" t="str">
        <f>MID(VLOOKUP($A201,Seqs!$A:$B,2,FALSE),VLOOKUP($A201,'NonXtal_SegEnds_Prot#'!$A:$AL,22,FALSE)+8,1)</f>
        <v>V</v>
      </c>
      <c r="Z201" s="90" t="str">
        <f>MID(VLOOKUP($A201,Seqs!$A:$B,2,FALSE),VLOOKUP($A201,'NonXtal_SegEnds_Prot#'!$A:$AL,22,FALSE)+9,1)</f>
        <v>P</v>
      </c>
      <c r="AA201" s="90" t="str">
        <f>MID(VLOOKUP($A201,Seqs!$A:$B,2,FALSE),VLOOKUP($A201,'NonXtal_SegEnds_Prot#'!$A:$AL,22,FALSE)+10,1)</f>
        <v>I</v>
      </c>
      <c r="AB201" s="64" t="str">
        <f>MID(VLOOKUP($A201,Seqs!$A:$B,2,FALSE),VLOOKUP($A201,'NonXtal_SegEnds_Prot#'!$A:$AL,28,FALSE)-4,1)</f>
        <v>A</v>
      </c>
      <c r="AC201" s="90" t="str">
        <f>MID(VLOOKUP($A201,Seqs!$A:$B,2,FALSE),VLOOKUP($A201,'NonXtal_SegEnds_Prot#'!$A:$AL,28,FALSE),1)</f>
        <v>P</v>
      </c>
    </row>
    <row r="202" spans="1:29" s="2" customFormat="1" x14ac:dyDescent="0.2">
      <c r="A202" s="2" t="s">
        <v>1111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64" t="str">
        <f>MID(VLOOKUP($A202,Seqs!$A:$B,2,FALSE),VLOOKUP($A202,'NonXtal_SegEnds_Prot#'!A:AL,10,FALSE),1)</f>
        <v>D</v>
      </c>
      <c r="S202" s="90" t="str">
        <f>MID(VLOOKUP($A202,Seqs!$A:$B,2,FALSE),VLOOKUP($A202,'NonXtal_SegEnds_Prot#'!A:AL,10,FALSE)+6,1)</f>
        <v>T</v>
      </c>
      <c r="T202" s="90" t="str">
        <f>MID(VLOOKUP($A202,Seqs!$A:$B,2,FALSE),VLOOKUP($A202,'NonXtal_SegEnds_Prot#'!A:AL,10,FALSE)+7,1)</f>
        <v>L</v>
      </c>
      <c r="U202" s="90" t="str">
        <f>MID(VLOOKUP($A202,Seqs!$A:$B,2,FALSE),VLOOKUP($A202,'NonXtal_SegEnds_Prot#'!A:AL,10,FALSE)+8,1)</f>
        <v>P</v>
      </c>
      <c r="V202" s="90" t="str">
        <f>MID(VLOOKUP($A202,Seqs!$A:$B,2,FALSE),VLOOKUP($A202,'NonXtal_SegEnds_Prot#'!A:AL,10,FALSE)+9,1)</f>
        <v>F</v>
      </c>
      <c r="W202" s="64" t="str">
        <f>MID(VLOOKUP($A202,Seqs!$A:$B,2,FALSE),VLOOKUP($A202,'NonXtal_SegEnds_Prot#'!$A:$AL,22,FALSE)+6,1)</f>
        <v>V</v>
      </c>
      <c r="X202" s="90" t="str">
        <f>MID(VLOOKUP($A202,Seqs!$A:$B,2,FALSE),VLOOKUP($A202,'NonXtal_SegEnds_Prot#'!$A:$AL,22,FALSE)+7,1)</f>
        <v>G</v>
      </c>
      <c r="Y202" s="90" t="str">
        <f>MID(VLOOKUP($A202,Seqs!$A:$B,2,FALSE),VLOOKUP($A202,'NonXtal_SegEnds_Prot#'!$A:$AL,22,FALSE)+8,1)</f>
        <v>V</v>
      </c>
      <c r="Z202" s="90" t="str">
        <f>MID(VLOOKUP($A202,Seqs!$A:$B,2,FALSE),VLOOKUP($A202,'NonXtal_SegEnds_Prot#'!$A:$AL,22,FALSE)+9,1)</f>
        <v>P</v>
      </c>
      <c r="AA202" s="90" t="str">
        <f>MID(VLOOKUP($A202,Seqs!$A:$B,2,FALSE),VLOOKUP($A202,'NonXtal_SegEnds_Prot#'!$A:$AL,22,FALSE)+10,1)</f>
        <v>I</v>
      </c>
      <c r="AB202" s="64" t="str">
        <f>MID(VLOOKUP($A202,Seqs!$A:$B,2,FALSE),VLOOKUP($A202,'NonXtal_SegEnds_Prot#'!$A:$AL,28,FALSE)-4,1)</f>
        <v>A</v>
      </c>
      <c r="AC202" s="90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529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64" t="str">
        <f>MID(VLOOKUP($A203,Seqs!$A:$B,2,FALSE),VLOOKUP($A203,'NonXtal_SegEnds_Prot#'!A:AL,10,FALSE),1)</f>
        <v>D</v>
      </c>
      <c r="S203" s="90" t="str">
        <f>MID(VLOOKUP($A203,Seqs!$A:$B,2,FALSE),VLOOKUP($A203,'NonXtal_SegEnds_Prot#'!A:AL,10,FALSE)+6,1)</f>
        <v>T</v>
      </c>
      <c r="T203" s="90" t="str">
        <f>MID(VLOOKUP($A203,Seqs!$A:$B,2,FALSE),VLOOKUP($A203,'NonXtal_SegEnds_Prot#'!A:AL,10,FALSE)+7,1)</f>
        <v>M</v>
      </c>
      <c r="U203" s="90" t="str">
        <f>MID(VLOOKUP($A203,Seqs!$A:$B,2,FALSE),VLOOKUP($A203,'NonXtal_SegEnds_Prot#'!A:AL,10,FALSE)+8,1)</f>
        <v>P</v>
      </c>
      <c r="V203" s="90" t="str">
        <f>MID(VLOOKUP($A203,Seqs!$A:$B,2,FALSE),VLOOKUP($A203,'NonXtal_SegEnds_Prot#'!A:AL,10,FALSE)+9,1)</f>
        <v>F</v>
      </c>
      <c r="W203" s="64" t="str">
        <f>MID(VLOOKUP($A203,Seqs!$A:$B,2,FALSE),VLOOKUP($A203,'NonXtal_SegEnds_Prot#'!$A:$AL,22,FALSE)+6,1)</f>
        <v>V</v>
      </c>
      <c r="X203" s="90" t="str">
        <f>MID(VLOOKUP($A203,Seqs!$A:$B,2,FALSE),VLOOKUP($A203,'NonXtal_SegEnds_Prot#'!$A:$AL,22,FALSE)+7,1)</f>
        <v>G</v>
      </c>
      <c r="Y203" s="90" t="str">
        <f>MID(VLOOKUP($A203,Seqs!$A:$B,2,FALSE),VLOOKUP($A203,'NonXtal_SegEnds_Prot#'!$A:$AL,22,FALSE)+8,1)</f>
        <v>I</v>
      </c>
      <c r="Z203" s="90" t="str">
        <f>MID(VLOOKUP($A203,Seqs!$A:$B,2,FALSE),VLOOKUP($A203,'NonXtal_SegEnds_Prot#'!$A:$AL,22,FALSE)+9,1)</f>
        <v>S</v>
      </c>
      <c r="AA203" s="90" t="str">
        <f>MID(VLOOKUP($A203,Seqs!$A:$B,2,FALSE),VLOOKUP($A203,'NonXtal_SegEnds_Prot#'!$A:$AL,22,FALSE)+10,1)</f>
        <v>A</v>
      </c>
      <c r="AB203" s="64" t="str">
        <f>MID(VLOOKUP($A203,Seqs!$A:$B,2,FALSE),VLOOKUP($A203,'NonXtal_SegEnds_Prot#'!$A:$AL,28,FALSE)-4,1)</f>
        <v>A</v>
      </c>
      <c r="AC203" s="90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530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64" t="str">
        <f>MID(VLOOKUP($A204,Seqs!$A:$B,2,FALSE),VLOOKUP($A204,'NonXtal_SegEnds_Prot#'!A:AL,10,FALSE),1)</f>
        <v>D</v>
      </c>
      <c r="S204" s="90" t="str">
        <f>MID(VLOOKUP($A204,Seqs!$A:$B,2,FALSE),VLOOKUP($A204,'NonXtal_SegEnds_Prot#'!A:AL,10,FALSE)+6,1)</f>
        <v>T</v>
      </c>
      <c r="T204" s="90" t="str">
        <f>MID(VLOOKUP($A204,Seqs!$A:$B,2,FALSE),VLOOKUP($A204,'NonXtal_SegEnds_Prot#'!A:AL,10,FALSE)+7,1)</f>
        <v>L</v>
      </c>
      <c r="U204" s="90" t="str">
        <f>MID(VLOOKUP($A204,Seqs!$A:$B,2,FALSE),VLOOKUP($A204,'NonXtal_SegEnds_Prot#'!A:AL,10,FALSE)+8,1)</f>
        <v>P</v>
      </c>
      <c r="V204" s="90" t="str">
        <f>MID(VLOOKUP($A204,Seqs!$A:$B,2,FALSE),VLOOKUP($A204,'NonXtal_SegEnds_Prot#'!A:AL,10,FALSE)+9,1)</f>
        <v>F</v>
      </c>
      <c r="W204" s="64" t="str">
        <f>MID(VLOOKUP($A204,Seqs!$A:$B,2,FALSE),VLOOKUP($A204,'NonXtal_SegEnds_Prot#'!$A:$AL,22,FALSE)+6,1)</f>
        <v>I</v>
      </c>
      <c r="X204" s="90" t="str">
        <f>MID(VLOOKUP($A204,Seqs!$A:$B,2,FALSE),VLOOKUP($A204,'NonXtal_SegEnds_Prot#'!$A:$AL,22,FALSE)+7,1)</f>
        <v>G</v>
      </c>
      <c r="Y204" s="90" t="str">
        <f>MID(VLOOKUP($A204,Seqs!$A:$B,2,FALSE),VLOOKUP($A204,'NonXtal_SegEnds_Prot#'!$A:$AL,22,FALSE)+8,1)</f>
        <v>L</v>
      </c>
      <c r="Z204" s="90" t="str">
        <f>MID(VLOOKUP($A204,Seqs!$A:$B,2,FALSE),VLOOKUP($A204,'NonXtal_SegEnds_Prot#'!$A:$AL,22,FALSE)+9,1)</f>
        <v>P</v>
      </c>
      <c r="AA204" s="90" t="str">
        <f>MID(VLOOKUP($A204,Seqs!$A:$B,2,FALSE),VLOOKUP($A204,'NonXtal_SegEnds_Prot#'!$A:$AL,22,FALSE)+10,1)</f>
        <v>V</v>
      </c>
      <c r="AB204" s="64" t="str">
        <f>MID(VLOOKUP($A204,Seqs!$A:$B,2,FALSE),VLOOKUP($A204,'NonXtal_SegEnds_Prot#'!$A:$AL,28,FALSE)-4,1)</f>
        <v>A</v>
      </c>
      <c r="AC204" s="90" t="str">
        <f>MID(VLOOKUP($A204,Seqs!$A:$B,2,FALSE),VLOOKUP($A204,'NonXtal_SegEnds_Prot#'!$A:$AL,28,FALSE),1)</f>
        <v>P</v>
      </c>
    </row>
    <row r="205" spans="1:29" s="2" customFormat="1" x14ac:dyDescent="0.2">
      <c r="A205" s="78" t="s">
        <v>1113</v>
      </c>
      <c r="B205" s="78" t="str">
        <f>LOWER(VLOOKUP(A205,Xtal_Templ!A:B,2,FALSE))</f>
        <v>oprm_mouse</v>
      </c>
      <c r="C205" s="78" t="str">
        <f>VLOOKUP(A205,Classification!A:D,2,FALSE)</f>
        <v>A</v>
      </c>
      <c r="D205" s="78"/>
      <c r="E205" s="78"/>
      <c r="F205" s="78"/>
      <c r="G205" s="78"/>
      <c r="H205" s="78"/>
      <c r="I205" s="78"/>
      <c r="J205" s="78"/>
      <c r="L205" s="78"/>
      <c r="M205" s="78"/>
      <c r="N205" s="78" t="s">
        <v>43</v>
      </c>
      <c r="O205" s="78"/>
      <c r="P205" s="21" t="s">
        <v>51</v>
      </c>
      <c r="Q205" s="78"/>
      <c r="R205" s="103" t="str">
        <f>MID(VLOOKUP($A205,Seqs!$A:$B,2,FALSE),VLOOKUP($A205,'NonXtal_SegEnds_Prot#'!A:AL,10,FALSE),1)</f>
        <v>D</v>
      </c>
      <c r="S205" s="92" t="str">
        <f>MID(VLOOKUP($A205,Seqs!$A:$B,2,FALSE),VLOOKUP($A205,'NonXtal_SegEnds_Prot#'!A:AL,10,FALSE)+6,1)</f>
        <v>T</v>
      </c>
      <c r="T205" s="92" t="str">
        <f>MID(VLOOKUP($A205,Seqs!$A:$B,2,FALSE),VLOOKUP($A205,'NonXtal_SegEnds_Prot#'!A:AL,10,FALSE)+7,1)</f>
        <v>L</v>
      </c>
      <c r="U205" s="92" t="str">
        <f>MID(VLOOKUP($A205,Seqs!$A:$B,2,FALSE),VLOOKUP($A205,'NonXtal_SegEnds_Prot#'!A:AL,10,FALSE)+8,1)</f>
        <v>P</v>
      </c>
      <c r="V205" s="92" t="str">
        <f>MID(VLOOKUP($A205,Seqs!$A:$B,2,FALSE),VLOOKUP($A205,'NonXtal_SegEnds_Prot#'!A:AL,10,FALSE)+9,1)</f>
        <v>F</v>
      </c>
      <c r="W205" s="103" t="str">
        <f>MID(VLOOKUP($A205,Seqs!$A:$B,2,FALSE),VLOOKUP($A205,'NonXtal_SegEnds_Prot#'!$A:$AL,22,FALSE)+6,1)</f>
        <v>I</v>
      </c>
      <c r="X205" s="92" t="str">
        <f>MID(VLOOKUP($A205,Seqs!$A:$B,2,FALSE),VLOOKUP($A205,'NonXtal_SegEnds_Prot#'!$A:$AL,22,FALSE)+7,1)</f>
        <v>G</v>
      </c>
      <c r="Y205" s="92" t="str">
        <f>MID(VLOOKUP($A205,Seqs!$A:$B,2,FALSE),VLOOKUP($A205,'NonXtal_SegEnds_Prot#'!$A:$AL,22,FALSE)+8,1)</f>
        <v>L</v>
      </c>
      <c r="Z205" s="92" t="str">
        <f>MID(VLOOKUP($A205,Seqs!$A:$B,2,FALSE),VLOOKUP($A205,'NonXtal_SegEnds_Prot#'!$A:$AL,22,FALSE)+9,1)</f>
        <v>P</v>
      </c>
      <c r="AA205" s="92" t="str">
        <f>MID(VLOOKUP($A205,Seqs!$A:$B,2,FALSE),VLOOKUP($A205,'NonXtal_SegEnds_Prot#'!$A:$AL,22,FALSE)+10,1)</f>
        <v>V</v>
      </c>
      <c r="AB205" s="103" t="str">
        <f>MID(VLOOKUP($A205,Seqs!$A:$B,2,FALSE),VLOOKUP($A205,'NonXtal_SegEnds_Prot#'!$A:$AL,28,FALSE)-4,1)</f>
        <v>A</v>
      </c>
      <c r="AC205" s="92" t="str">
        <f>MID(VLOOKUP($A205,Seqs!$A:$B,2,FALSE),VLOOKUP($A205,'NonXtal_SegEnds_Prot#'!$A:$AL,28,FALSE),1)</f>
        <v>P</v>
      </c>
    </row>
    <row r="206" spans="1:29" s="2" customFormat="1" x14ac:dyDescent="0.2">
      <c r="A206" s="2" t="s">
        <v>1392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64" t="str">
        <f>MID(VLOOKUP($A206,Seqs!$A:$B,2,FALSE),VLOOKUP($A206,'NonXtal_SegEnds_Prot#'!A:AL,10,FALSE),1)</f>
        <v>D</v>
      </c>
      <c r="S206" s="90" t="str">
        <f>MID(VLOOKUP($A206,Seqs!$A:$B,2,FALSE),VLOOKUP($A206,'NonXtal_SegEnds_Prot#'!A:AL,10,FALSE)+6,1)</f>
        <v>T</v>
      </c>
      <c r="T206" s="90" t="str">
        <f>MID(VLOOKUP($A206,Seqs!$A:$B,2,FALSE),VLOOKUP($A206,'NonXtal_SegEnds_Prot#'!A:AL,10,FALSE)+7,1)</f>
        <v>L</v>
      </c>
      <c r="U206" s="90" t="str">
        <f>MID(VLOOKUP($A206,Seqs!$A:$B,2,FALSE),VLOOKUP($A206,'NonXtal_SegEnds_Prot#'!A:AL,10,FALSE)+8,1)</f>
        <v>P</v>
      </c>
      <c r="V206" s="90" t="str">
        <f>MID(VLOOKUP($A206,Seqs!$A:$B,2,FALSE),VLOOKUP($A206,'NonXtal_SegEnds_Prot#'!A:AL,10,FALSE)+9,1)</f>
        <v>F</v>
      </c>
      <c r="W206" s="64" t="str">
        <f>MID(VLOOKUP($A206,Seqs!$A:$B,2,FALSE),VLOOKUP($A206,'NonXtal_SegEnds_Prot#'!$A:$AL,22,FALSE)+6,1)</f>
        <v>V</v>
      </c>
      <c r="X206" s="90" t="str">
        <f>MID(VLOOKUP($A206,Seqs!$A:$B,2,FALSE),VLOOKUP($A206,'NonXtal_SegEnds_Prot#'!$A:$AL,22,FALSE)+7,1)</f>
        <v>G</v>
      </c>
      <c r="Y206" s="90" t="str">
        <f>MID(VLOOKUP($A206,Seqs!$A:$B,2,FALSE),VLOOKUP($A206,'NonXtal_SegEnds_Prot#'!$A:$AL,22,FALSE)+8,1)</f>
        <v>V</v>
      </c>
      <c r="Z206" s="90" t="str">
        <f>MID(VLOOKUP($A206,Seqs!$A:$B,2,FALSE),VLOOKUP($A206,'NonXtal_SegEnds_Prot#'!$A:$AL,22,FALSE)+9,1)</f>
        <v>P</v>
      </c>
      <c r="AA206" s="90" t="str">
        <f>MID(VLOOKUP($A206,Seqs!$A:$B,2,FALSE),VLOOKUP($A206,'NonXtal_SegEnds_Prot#'!$A:$AL,22,FALSE)+10,1)</f>
        <v>V</v>
      </c>
      <c r="AB206" s="64" t="str">
        <f>MID(VLOOKUP($A206,Seqs!$A:$B,2,FALSE),VLOOKUP($A206,'NonXtal_SegEnds_Prot#'!$A:$AL,28,FALSE)-4,1)</f>
        <v>S</v>
      </c>
      <c r="AC206" s="90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565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64" t="str">
        <f>MID(VLOOKUP($A207,Seqs!$A:$B,2,FALSE),VLOOKUP($A207,'NonXtal_SegEnds_Prot#'!A:AL,10,FALSE),1)</f>
        <v>D</v>
      </c>
      <c r="S207" s="90" t="str">
        <f>MID(VLOOKUP($A207,Seqs!$A:$B,2,FALSE),VLOOKUP($A207,'NonXtal_SegEnds_Prot#'!A:AL,10,FALSE)+6,1)</f>
        <v>F</v>
      </c>
      <c r="T207" s="90" t="str">
        <f>MID(VLOOKUP($A207,Seqs!$A:$B,2,FALSE),VLOOKUP($A207,'NonXtal_SegEnds_Prot#'!A:AL,10,FALSE)+7,1)</f>
        <v>C</v>
      </c>
      <c r="U207" s="90" t="str">
        <f>MID(VLOOKUP($A207,Seqs!$A:$B,2,FALSE),VLOOKUP($A207,'NonXtal_SegEnds_Prot#'!A:AL,10,FALSE)+8,1)</f>
        <v>I</v>
      </c>
      <c r="V207" s="90" t="str">
        <f>MID(VLOOKUP($A207,Seqs!$A:$B,2,FALSE),VLOOKUP($A207,'NonXtal_SegEnds_Prot#'!A:AL,10,FALSE)+9,1)</f>
        <v>P</v>
      </c>
      <c r="W207" s="64" t="str">
        <f>MID(VLOOKUP($A207,Seqs!$A:$B,2,FALSE),VLOOKUP($A207,'NonXtal_SegEnds_Prot#'!$A:$AL,22,FALSE)+6,1)</f>
        <v>V</v>
      </c>
      <c r="X207" s="90" t="str">
        <f>MID(VLOOKUP($A207,Seqs!$A:$B,2,FALSE),VLOOKUP($A207,'NonXtal_SegEnds_Prot#'!$A:$AL,22,FALSE)+7,1)</f>
        <v>G</v>
      </c>
      <c r="Y207" s="90" t="str">
        <f>MID(VLOOKUP($A207,Seqs!$A:$B,2,FALSE),VLOOKUP($A207,'NonXtal_SegEnds_Prot#'!$A:$AL,22,FALSE)+8,1)</f>
        <v>S</v>
      </c>
      <c r="Z207" s="90" t="str">
        <f>MID(VLOOKUP($A207,Seqs!$A:$B,2,FALSE),VLOOKUP($A207,'NonXtal_SegEnds_Prot#'!$A:$AL,22,FALSE)+9,1)</f>
        <v>P</v>
      </c>
      <c r="AA207" s="90" t="str">
        <f>MID(VLOOKUP($A207,Seqs!$A:$B,2,FALSE),VLOOKUP($A207,'NonXtal_SegEnds_Prot#'!$A:$AL,22,FALSE)+10,1)</f>
        <v>M</v>
      </c>
      <c r="AB207" s="64" t="str">
        <f>MID(VLOOKUP($A207,Seqs!$A:$B,2,FALSE),VLOOKUP($A207,'NonXtal_SegEnds_Prot#'!$A:$AL,28,FALSE)-4,1)</f>
        <v>L</v>
      </c>
      <c r="AC207" s="90" t="str">
        <f>MID(VLOOKUP($A207,Seqs!$A:$B,2,FALSE),VLOOKUP($A207,'NonXtal_SegEnds_Prot#'!$A:$AL,28,FALSE),1)</f>
        <v>P</v>
      </c>
    </row>
    <row r="208" spans="1:29" s="2" customFormat="1" x14ac:dyDescent="0.2">
      <c r="A208" s="2" t="s">
        <v>297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64" t="str">
        <f>MID(VLOOKUP($A208,Seqs!$A:$B,2,FALSE),VLOOKUP($A208,'NonXtal_SegEnds_Prot#'!A:AL,10,FALSE),1)</f>
        <v>D</v>
      </c>
      <c r="S208" s="90" t="str">
        <f>MID(VLOOKUP($A208,Seqs!$A:$B,2,FALSE),VLOOKUP($A208,'NonXtal_SegEnds_Prot#'!A:AL,10,FALSE)+6,1)</f>
        <v>A</v>
      </c>
      <c r="T208" s="90" t="str">
        <f>MID(VLOOKUP($A208,Seqs!$A:$B,2,FALSE),VLOOKUP($A208,'NonXtal_SegEnds_Prot#'!A:AL,10,FALSE)+7,1)</f>
        <v>Y</v>
      </c>
      <c r="U208" s="90" t="str">
        <f>MID(VLOOKUP($A208,Seqs!$A:$B,2,FALSE),VLOOKUP($A208,'NonXtal_SegEnds_Prot#'!A:AL,10,FALSE)+8,1)</f>
        <v>T</v>
      </c>
      <c r="V208" s="90" t="str">
        <f>MID(VLOOKUP($A208,Seqs!$A:$B,2,FALSE),VLOOKUP($A208,'NonXtal_SegEnds_Prot#'!A:AL,10,FALSE)+9,1)</f>
        <v>A</v>
      </c>
      <c r="W208" s="64" t="str">
        <f>MID(VLOOKUP($A208,Seqs!$A:$B,2,FALSE),VLOOKUP($A208,'NonXtal_SegEnds_Prot#'!$A:$AL,22,FALSE)+6,1)</f>
        <v>L</v>
      </c>
      <c r="X208" s="90" t="str">
        <f>MID(VLOOKUP($A208,Seqs!$A:$B,2,FALSE),VLOOKUP($A208,'NonXtal_SegEnds_Prot#'!$A:$AL,22,FALSE)+7,1)</f>
        <v>G</v>
      </c>
      <c r="Y208" s="90" t="str">
        <f>MID(VLOOKUP($A208,Seqs!$A:$B,2,FALSE),VLOOKUP($A208,'NonXtal_SegEnds_Prot#'!$A:$AL,22,FALSE)+8,1)</f>
        <v>G</v>
      </c>
      <c r="Z208" s="90" t="str">
        <f>MID(VLOOKUP($A208,Seqs!$A:$B,2,FALSE),VLOOKUP($A208,'NonXtal_SegEnds_Prot#'!$A:$AL,22,FALSE)+9,1)</f>
        <v>L</v>
      </c>
      <c r="AA208" s="90" t="str">
        <f>MID(VLOOKUP($A208,Seqs!$A:$B,2,FALSE),VLOOKUP($A208,'NonXtal_SegEnds_Prot#'!$A:$AL,22,FALSE)+10,1)</f>
        <v>P</v>
      </c>
      <c r="AB208" s="64" t="str">
        <f>MID(VLOOKUP($A208,Seqs!$A:$B,2,FALSE),VLOOKUP($A208,'NonXtal_SegEnds_Prot#'!$A:$AL,28,FALSE)-4,1)</f>
        <v>V</v>
      </c>
      <c r="AC208" s="90" t="str">
        <f>MID(VLOOKUP($A208,Seqs!$A:$B,2,FALSE),VLOOKUP($A208,'NonXtal_SegEnds_Prot#'!$A:$AL,28,FALSE),1)</f>
        <v>L</v>
      </c>
    </row>
    <row r="209" spans="1:29" s="2" customFormat="1" x14ac:dyDescent="0.2">
      <c r="A209" s="2" t="s">
        <v>570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64" t="str">
        <f>MID(VLOOKUP($A209,Seqs!$A:$B,2,FALSE),VLOOKUP($A209,'NonXtal_SegEnds_Prot#'!A:AL,10,FALSE),1)</f>
        <v>D</v>
      </c>
      <c r="S209" s="90" t="str">
        <f>MID(VLOOKUP($A209,Seqs!$A:$B,2,FALSE),VLOOKUP($A209,'NonXtal_SegEnds_Prot#'!A:AL,10,FALSE)+6,1)</f>
        <v>A</v>
      </c>
      <c r="T209" s="90" t="str">
        <f>MID(VLOOKUP($A209,Seqs!$A:$B,2,FALSE),VLOOKUP($A209,'NonXtal_SegEnds_Prot#'!A:AL,10,FALSE)+7,1)</f>
        <v>F</v>
      </c>
      <c r="U209" s="90" t="str">
        <f>MID(VLOOKUP($A209,Seqs!$A:$B,2,FALSE),VLOOKUP($A209,'NonXtal_SegEnds_Prot#'!A:AL,10,FALSE)+8,1)</f>
        <v>V</v>
      </c>
      <c r="V209" s="90" t="str">
        <f>MID(VLOOKUP($A209,Seqs!$A:$B,2,FALSE),VLOOKUP($A209,'NonXtal_SegEnds_Prot#'!A:AL,10,FALSE)+9,1)</f>
        <v>A</v>
      </c>
      <c r="W209" s="64" t="str">
        <f>MID(VLOOKUP($A209,Seqs!$A:$B,2,FALSE),VLOOKUP($A209,'NonXtal_SegEnds_Prot#'!$A:$AL,22,FALSE)+6,1)</f>
        <v>L</v>
      </c>
      <c r="X209" s="90" t="str">
        <f>MID(VLOOKUP($A209,Seqs!$A:$B,2,FALSE),VLOOKUP($A209,'NonXtal_SegEnds_Prot#'!$A:$AL,22,FALSE)+7,1)</f>
        <v>G</v>
      </c>
      <c r="Y209" s="90" t="str">
        <f>MID(VLOOKUP($A209,Seqs!$A:$B,2,FALSE),VLOOKUP($A209,'NonXtal_SegEnds_Prot#'!$A:$AL,22,FALSE)+8,1)</f>
        <v>G</v>
      </c>
      <c r="Z209" s="90" t="str">
        <f>MID(VLOOKUP($A209,Seqs!$A:$B,2,FALSE),VLOOKUP($A209,'NonXtal_SegEnds_Prot#'!$A:$AL,22,FALSE)+9,1)</f>
        <v>L</v>
      </c>
      <c r="AA209" s="90" t="str">
        <f>MID(VLOOKUP($A209,Seqs!$A:$B,2,FALSE),VLOOKUP($A209,'NonXtal_SegEnds_Prot#'!$A:$AL,22,FALSE)+10,1)</f>
        <v>P</v>
      </c>
      <c r="AB209" s="64" t="str">
        <f>MID(VLOOKUP($A209,Seqs!$A:$B,2,FALSE),VLOOKUP($A209,'NonXtal_SegEnds_Prot#'!$A:$AL,28,FALSE)-4,1)</f>
        <v>I</v>
      </c>
      <c r="AC209" s="90" t="str">
        <f>MID(VLOOKUP($A209,Seqs!$A:$B,2,FALSE),VLOOKUP($A209,'NonXtal_SegEnds_Prot#'!$A:$AL,28,FALSE),1)</f>
        <v>I</v>
      </c>
    </row>
    <row r="210" spans="1:29" s="2" customFormat="1" x14ac:dyDescent="0.2">
      <c r="A210" s="2" t="s">
        <v>571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64" t="str">
        <f>MID(VLOOKUP($A210,Seqs!$A:$B,2,FALSE),VLOOKUP($A210,'NonXtal_SegEnds_Prot#'!A:AL,10,FALSE),1)</f>
        <v>D</v>
      </c>
      <c r="S210" s="90" t="str">
        <f>MID(VLOOKUP($A210,Seqs!$A:$B,2,FALSE),VLOOKUP($A210,'NonXtal_SegEnds_Prot#'!A:AL,10,FALSE)+6,1)</f>
        <v>A</v>
      </c>
      <c r="T210" s="90" t="str">
        <f>MID(VLOOKUP($A210,Seqs!$A:$B,2,FALSE),VLOOKUP($A210,'NonXtal_SegEnds_Prot#'!A:AL,10,FALSE)+7,1)</f>
        <v>Y</v>
      </c>
      <c r="U210" s="90" t="str">
        <f>MID(VLOOKUP($A210,Seqs!$A:$B,2,FALSE),VLOOKUP($A210,'NonXtal_SegEnds_Prot#'!A:AL,10,FALSE)+8,1)</f>
        <v>K</v>
      </c>
      <c r="V210" s="90" t="str">
        <f>MID(VLOOKUP($A210,Seqs!$A:$B,2,FALSE),VLOOKUP($A210,'NonXtal_SegEnds_Prot#'!A:AL,10,FALSE)+9,1)</f>
        <v>V</v>
      </c>
      <c r="W210" s="64" t="str">
        <f>MID(VLOOKUP($A210,Seqs!$A:$B,2,FALSE),VLOOKUP($A210,'NonXtal_SegEnds_Prot#'!$A:$AL,22,FALSE)+6,1)</f>
        <v>L</v>
      </c>
      <c r="X210" s="90" t="str">
        <f>MID(VLOOKUP($A210,Seqs!$A:$B,2,FALSE),VLOOKUP($A210,'NonXtal_SegEnds_Prot#'!$A:$AL,22,FALSE)+7,1)</f>
        <v>G</v>
      </c>
      <c r="Y210" s="90" t="str">
        <f>MID(VLOOKUP($A210,Seqs!$A:$B,2,FALSE),VLOOKUP($A210,'NonXtal_SegEnds_Prot#'!$A:$AL,22,FALSE)+8,1)</f>
        <v>A</v>
      </c>
      <c r="Z210" s="90" t="str">
        <f>MID(VLOOKUP($A210,Seqs!$A:$B,2,FALSE),VLOOKUP($A210,'NonXtal_SegEnds_Prot#'!$A:$AL,22,FALSE)+9,1)</f>
        <v>L</v>
      </c>
      <c r="AA210" s="90" t="str">
        <f>MID(VLOOKUP($A210,Seqs!$A:$B,2,FALSE),VLOOKUP($A210,'NonXtal_SegEnds_Prot#'!$A:$AL,22,FALSE)+10,1)</f>
        <v>P</v>
      </c>
      <c r="AB210" s="64" t="str">
        <f>MID(VLOOKUP($A210,Seqs!$A:$B,2,FALSE),VLOOKUP($A210,'NonXtal_SegEnds_Prot#'!$A:$AL,28,FALSE)-4,1)</f>
        <v>I</v>
      </c>
      <c r="AC210" s="90" t="str">
        <f>MID(VLOOKUP($A210,Seqs!$A:$B,2,FALSE),VLOOKUP($A210,'NonXtal_SegEnds_Prot#'!$A:$AL,28,FALSE),1)</f>
        <v>I</v>
      </c>
    </row>
    <row r="211" spans="1:29" s="2" customFormat="1" x14ac:dyDescent="0.2">
      <c r="A211" s="2" t="s">
        <v>572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64" t="str">
        <f>MID(VLOOKUP($A211,Seqs!$A:$B,2,FALSE),VLOOKUP($A211,'NonXtal_SegEnds_Prot#'!A:AL,10,FALSE),1)</f>
        <v>D</v>
      </c>
      <c r="S211" s="90" t="str">
        <f>MID(VLOOKUP($A211,Seqs!$A:$B,2,FALSE),VLOOKUP($A211,'NonXtal_SegEnds_Prot#'!A:AL,10,FALSE)+6,1)</f>
        <v>A</v>
      </c>
      <c r="T211" s="90" t="str">
        <f>MID(VLOOKUP($A211,Seqs!$A:$B,2,FALSE),VLOOKUP($A211,'NonXtal_SegEnds_Prot#'!A:AL,10,FALSE)+7,1)</f>
        <v>Y</v>
      </c>
      <c r="U211" s="90" t="str">
        <f>MID(VLOOKUP($A211,Seqs!$A:$B,2,FALSE),VLOOKUP($A211,'NonXtal_SegEnds_Prot#'!A:AL,10,FALSE)+8,1)</f>
        <v>L</v>
      </c>
      <c r="V211" s="90" t="str">
        <f>MID(VLOOKUP($A211,Seqs!$A:$B,2,FALSE),VLOOKUP($A211,'NonXtal_SegEnds_Prot#'!A:AL,10,FALSE)+9,1)</f>
        <v>A</v>
      </c>
      <c r="W211" s="64" t="str">
        <f>MID(VLOOKUP($A211,Seqs!$A:$B,2,FALSE),VLOOKUP($A211,'NonXtal_SegEnds_Prot#'!$A:$AL,22,FALSE)+6,1)</f>
        <v>L</v>
      </c>
      <c r="X211" s="90" t="str">
        <f>MID(VLOOKUP($A211,Seqs!$A:$B,2,FALSE),VLOOKUP($A211,'NonXtal_SegEnds_Prot#'!$A:$AL,22,FALSE)+7,1)</f>
        <v>G</v>
      </c>
      <c r="Y211" s="90" t="str">
        <f>MID(VLOOKUP($A211,Seqs!$A:$B,2,FALSE),VLOOKUP($A211,'NonXtal_SegEnds_Prot#'!$A:$AL,22,FALSE)+8,1)</f>
        <v>M</v>
      </c>
      <c r="Z211" s="90" t="str">
        <f>MID(VLOOKUP($A211,Seqs!$A:$B,2,FALSE),VLOOKUP($A211,'NonXtal_SegEnds_Prot#'!$A:$AL,22,FALSE)+9,1)</f>
        <v>L</v>
      </c>
      <c r="AA211" s="90" t="str">
        <f>MID(VLOOKUP($A211,Seqs!$A:$B,2,FALSE),VLOOKUP($A211,'NonXtal_SegEnds_Prot#'!$A:$AL,22,FALSE)+10,1)</f>
        <v>P</v>
      </c>
      <c r="AB211" s="64" t="str">
        <f>MID(VLOOKUP($A211,Seqs!$A:$B,2,FALSE),VLOOKUP($A211,'NonXtal_SegEnds_Prot#'!$A:$AL,28,FALSE)-4,1)</f>
        <v>I</v>
      </c>
      <c r="AC211" s="90" t="str">
        <f>MID(VLOOKUP($A211,Seqs!$A:$B,2,FALSE),VLOOKUP($A211,'NonXtal_SegEnds_Prot#'!$A:$AL,28,FALSE),1)</f>
        <v>V</v>
      </c>
    </row>
    <row r="212" spans="1:29" s="2" customFormat="1" x14ac:dyDescent="0.2">
      <c r="A212" s="2" t="s">
        <v>573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64" t="str">
        <f>MID(VLOOKUP($A212,Seqs!$A:$B,2,FALSE),VLOOKUP($A212,'NonXtal_SegEnds_Prot#'!A:AL,10,FALSE),1)</f>
        <v>D</v>
      </c>
      <c r="S212" s="90" t="str">
        <f>MID(VLOOKUP($A212,Seqs!$A:$B,2,FALSE),VLOOKUP($A212,'NonXtal_SegEnds_Prot#'!A:AL,10,FALSE)+6,1)</f>
        <v>A</v>
      </c>
      <c r="T212" s="90" t="str">
        <f>MID(VLOOKUP($A212,Seqs!$A:$B,2,FALSE),VLOOKUP($A212,'NonXtal_SegEnds_Prot#'!A:AL,10,FALSE)+7,1)</f>
        <v>Y</v>
      </c>
      <c r="U212" s="90" t="str">
        <f>MID(VLOOKUP($A212,Seqs!$A:$B,2,FALSE),VLOOKUP($A212,'NonXtal_SegEnds_Prot#'!A:AL,10,FALSE)+8,1)</f>
        <v>A</v>
      </c>
      <c r="V212" s="90" t="str">
        <f>MID(VLOOKUP($A212,Seqs!$A:$B,2,FALSE),VLOOKUP($A212,'NonXtal_SegEnds_Prot#'!A:AL,10,FALSE)+9,1)</f>
        <v>A</v>
      </c>
      <c r="W212" s="64" t="str">
        <f>MID(VLOOKUP($A212,Seqs!$A:$B,2,FALSE),VLOOKUP($A212,'NonXtal_SegEnds_Prot#'!$A:$AL,22,FALSE)+6,1)</f>
        <v>L</v>
      </c>
      <c r="X212" s="90" t="str">
        <f>MID(VLOOKUP($A212,Seqs!$A:$B,2,FALSE),VLOOKUP($A212,'NonXtal_SegEnds_Prot#'!$A:$AL,22,FALSE)+7,1)</f>
        <v>G</v>
      </c>
      <c r="Y212" s="90" t="str">
        <f>MID(VLOOKUP($A212,Seqs!$A:$B,2,FALSE),VLOOKUP($A212,'NonXtal_SegEnds_Prot#'!$A:$AL,22,FALSE)+8,1)</f>
        <v>L</v>
      </c>
      <c r="Z212" s="90" t="str">
        <f>MID(VLOOKUP($A212,Seqs!$A:$B,2,FALSE),VLOOKUP($A212,'NonXtal_SegEnds_Prot#'!$A:$AL,22,FALSE)+9,1)</f>
        <v>L</v>
      </c>
      <c r="AA212" s="90" t="str">
        <f>MID(VLOOKUP($A212,Seqs!$A:$B,2,FALSE),VLOOKUP($A212,'NonXtal_SegEnds_Prot#'!$A:$AL,22,FALSE)+10,1)</f>
        <v>P</v>
      </c>
      <c r="AB212" s="64" t="str">
        <f>MID(VLOOKUP($A212,Seqs!$A:$B,2,FALSE),VLOOKUP($A212,'NonXtal_SegEnds_Prot#'!$A:$AL,28,FALSE)-4,1)</f>
        <v>A</v>
      </c>
      <c r="AC212" s="90" t="str">
        <f>MID(VLOOKUP($A212,Seqs!$A:$B,2,FALSE),VLOOKUP($A212,'NonXtal_SegEnds_Prot#'!$A:$AL,28,FALSE),1)</f>
        <v>I</v>
      </c>
    </row>
    <row r="213" spans="1:29" s="2" customFormat="1" x14ac:dyDescent="0.2">
      <c r="A213" s="2" t="s">
        <v>667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64" t="str">
        <f>MID(VLOOKUP($A213,Seqs!$A:$B,2,FALSE),VLOOKUP($A213,'NonXtal_SegEnds_Prot#'!A:AL,10,FALSE),1)</f>
        <v>D</v>
      </c>
      <c r="S213" s="90" t="str">
        <f>MID(VLOOKUP($A213,Seqs!$A:$B,2,FALSE),VLOOKUP($A213,'NonXtal_SegEnds_Prot#'!A:AL,10,FALSE)+6,1)</f>
        <v>V</v>
      </c>
      <c r="T213" s="90" t="str">
        <f>MID(VLOOKUP($A213,Seqs!$A:$B,2,FALSE),VLOOKUP($A213,'NonXtal_SegEnds_Prot#'!A:AL,10,FALSE)+7,1)</f>
        <v>T</v>
      </c>
      <c r="U213" s="90" t="str">
        <f>MID(VLOOKUP($A213,Seqs!$A:$B,2,FALSE),VLOOKUP($A213,'NonXtal_SegEnds_Prot#'!A:AL,10,FALSE)+8,1)</f>
        <v>G</v>
      </c>
      <c r="V213" s="90" t="str">
        <f>MID(VLOOKUP($A213,Seqs!$A:$B,2,FALSE),VLOOKUP($A213,'NonXtal_SegEnds_Prot#'!A:AL,10,FALSE)+9,1)</f>
        <v>T</v>
      </c>
      <c r="W213" s="64" t="str">
        <f>MID(VLOOKUP($A213,Seqs!$A:$B,2,FALSE),VLOOKUP($A213,'NonXtal_SegEnds_Prot#'!$A:$AL,22,FALSE)+6,1)</f>
        <v>L</v>
      </c>
      <c r="X213" s="90" t="str">
        <f>MID(VLOOKUP($A213,Seqs!$A:$B,2,FALSE),VLOOKUP($A213,'NonXtal_SegEnds_Prot#'!$A:$AL,22,FALSE)+7,1)</f>
        <v>G</v>
      </c>
      <c r="Y213" s="90" t="str">
        <f>MID(VLOOKUP($A213,Seqs!$A:$B,2,FALSE),VLOOKUP($A213,'NonXtal_SegEnds_Prot#'!$A:$AL,22,FALSE)+8,1)</f>
        <v>L</v>
      </c>
      <c r="Z213" s="90" t="str">
        <f>MID(VLOOKUP($A213,Seqs!$A:$B,2,FALSE),VLOOKUP($A213,'NonXtal_SegEnds_Prot#'!$A:$AL,22,FALSE)+9,1)</f>
        <v>L</v>
      </c>
      <c r="AA213" s="90" t="str">
        <f>MID(VLOOKUP($A213,Seqs!$A:$B,2,FALSE),VLOOKUP($A213,'NonXtal_SegEnds_Prot#'!$A:$AL,22,FALSE)+10,1)</f>
        <v>P</v>
      </c>
      <c r="AB213" s="64" t="str">
        <f>MID(VLOOKUP($A213,Seqs!$A:$B,2,FALSE),VLOOKUP($A213,'NonXtal_SegEnds_Prot#'!$A:$AL,28,FALSE)-4,1)</f>
        <v>L</v>
      </c>
      <c r="AC213" s="90" t="str">
        <f>MID(VLOOKUP($A213,Seqs!$A:$B,2,FALSE),VLOOKUP($A213,'NonXtal_SegEnds_Prot#'!$A:$AL,28,FALSE),1)</f>
        <v>S</v>
      </c>
    </row>
    <row r="214" spans="1:29" s="2" customFormat="1" x14ac:dyDescent="0.2">
      <c r="A214" s="2" t="s">
        <v>495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64" t="str">
        <f>MID(VLOOKUP($A214,Seqs!$A:$B,2,FALSE),VLOOKUP($A214,'NonXtal_SegEnds_Prot#'!A:AL,10,FALSE),1)</f>
        <v>D</v>
      </c>
      <c r="S214" s="90" t="str">
        <f>MID(VLOOKUP($A214,Seqs!$A:$B,2,FALSE),VLOOKUP($A214,'NonXtal_SegEnds_Prot#'!A:AL,10,FALSE)+6,1)</f>
        <v>C</v>
      </c>
      <c r="T214" s="90" t="str">
        <f>MID(VLOOKUP($A214,Seqs!$A:$B,2,FALSE),VLOOKUP($A214,'NonXtal_SegEnds_Prot#'!A:AL,10,FALSE)+7,1)</f>
        <v>H</v>
      </c>
      <c r="U214" s="90" t="str">
        <f>MID(VLOOKUP($A214,Seqs!$A:$B,2,FALSE),VLOOKUP($A214,'NonXtal_SegEnds_Prot#'!A:AL,10,FALSE)+8,1)</f>
        <v>M</v>
      </c>
      <c r="V214" s="90" t="str">
        <f>MID(VLOOKUP($A214,Seqs!$A:$B,2,FALSE),VLOOKUP($A214,'NonXtal_SegEnds_Prot#'!A:AL,10,FALSE)+9,1)</f>
        <v>V</v>
      </c>
      <c r="W214" s="64" t="str">
        <f>MID(VLOOKUP($A214,Seqs!$A:$B,2,FALSE),VLOOKUP($A214,'NonXtal_SegEnds_Prot#'!$A:$AL,22,FALSE)+6,1)</f>
        <v>L</v>
      </c>
      <c r="X214" s="90" t="str">
        <f>MID(VLOOKUP($A214,Seqs!$A:$B,2,FALSE),VLOOKUP($A214,'NonXtal_SegEnds_Prot#'!$A:$AL,22,FALSE)+7,1)</f>
        <v>H</v>
      </c>
      <c r="Y214" s="90" t="str">
        <f>MID(VLOOKUP($A214,Seqs!$A:$B,2,FALSE),VLOOKUP($A214,'NonXtal_SegEnds_Prot#'!$A:$AL,22,FALSE)+8,1)</f>
        <v>L</v>
      </c>
      <c r="Z214" s="90" t="str">
        <f>MID(VLOOKUP($A214,Seqs!$A:$B,2,FALSE),VLOOKUP($A214,'NonXtal_SegEnds_Prot#'!$A:$AL,22,FALSE)+9,1)</f>
        <v>L</v>
      </c>
      <c r="AA214" s="90" t="str">
        <f>MID(VLOOKUP($A214,Seqs!$A:$B,2,FALSE),VLOOKUP($A214,'NonXtal_SegEnds_Prot#'!$A:$AL,22,FALSE)+10,1)</f>
        <v>L</v>
      </c>
      <c r="AB214" s="64" t="str">
        <f>MID(VLOOKUP($A214,Seqs!$A:$B,2,FALSE),VLOOKUP($A214,'NonXtal_SegEnds_Prot#'!$A:$AL,28,FALSE)-4,1)</f>
        <v>A</v>
      </c>
      <c r="AC214" s="90" t="str">
        <f>MID(VLOOKUP($A214,Seqs!$A:$B,2,FALSE),VLOOKUP($A214,'NonXtal_SegEnds_Prot#'!$A:$AL,28,FALSE),1)</f>
        <v>C</v>
      </c>
    </row>
    <row r="215" spans="1:29" s="2" customFormat="1" x14ac:dyDescent="0.2">
      <c r="A215" s="2" t="s">
        <v>538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1553</v>
      </c>
      <c r="P215" s="4" t="s">
        <v>51</v>
      </c>
      <c r="R215" s="64" t="str">
        <f>MID(VLOOKUP($A215,Seqs!$A:$B,2,FALSE),VLOOKUP($A215,'NonXtal_SegEnds_Prot#'!A:AL,10,FALSE),1)</f>
        <v>D</v>
      </c>
      <c r="S215" s="90" t="str">
        <f>MID(VLOOKUP($A215,Seqs!$A:$B,2,FALSE),VLOOKUP($A215,'NonXtal_SegEnds_Prot#'!A:AL,10,FALSE)+6,1)</f>
        <v>T</v>
      </c>
      <c r="T215" s="90" t="str">
        <f>MID(VLOOKUP($A215,Seqs!$A:$B,2,FALSE),VLOOKUP($A215,'NonXtal_SegEnds_Prot#'!A:AL,10,FALSE)+7,1)</f>
        <v>L</v>
      </c>
      <c r="U215" s="90" t="str">
        <f>MID(VLOOKUP($A215,Seqs!$A:$B,2,FALSE),VLOOKUP($A215,'NonXtal_SegEnds_Prot#'!A:AL,10,FALSE)+8,1)</f>
        <v>P</v>
      </c>
      <c r="V215" s="90" t="str">
        <f>MID(VLOOKUP($A215,Seqs!$A:$B,2,FALSE),VLOOKUP($A215,'NonXtal_SegEnds_Prot#'!A:AL,10,FALSE)+9,1)</f>
        <v>A</v>
      </c>
      <c r="W215" s="64" t="str">
        <f>MID(VLOOKUP($A215,Seqs!$A:$B,2,FALSE),VLOOKUP($A215,'NonXtal_SegEnds_Prot#'!$A:$AL,22,FALSE)+6,1)</f>
        <v>A</v>
      </c>
      <c r="X215" s="90" t="str">
        <f>MID(VLOOKUP($A215,Seqs!$A:$B,2,FALSE),VLOOKUP($A215,'NonXtal_SegEnds_Prot#'!$A:$AL,22,FALSE)+7,1)</f>
        <v>I</v>
      </c>
      <c r="Y215" s="90" t="str">
        <f>MID(VLOOKUP($A215,Seqs!$A:$B,2,FALSE),VLOOKUP($A215,'NonXtal_SegEnds_Prot#'!$A:$AL,22,FALSE)+8,1)</f>
        <v>S</v>
      </c>
      <c r="Z215" s="90" t="str">
        <f>MID(VLOOKUP($A215,Seqs!$A:$B,2,FALSE),VLOOKUP($A215,'NonXtal_SegEnds_Prot#'!$A:$AL,22,FALSE)+9,1)</f>
        <v>P</v>
      </c>
      <c r="AA215" s="90" t="str">
        <f>MID(VLOOKUP($A215,Seqs!$A:$B,2,FALSE),VLOOKUP($A215,'NonXtal_SegEnds_Prot#'!$A:$AL,22,FALSE)+10,1)</f>
        <v>I</v>
      </c>
      <c r="AB215" s="64" t="str">
        <f>MID(VLOOKUP($A215,Seqs!$A:$B,2,FALSE),VLOOKUP($A215,'NonXtal_SegEnds_Prot#'!$A:$AL,28,FALSE)-4,1)</f>
        <v>M</v>
      </c>
      <c r="AC215" s="90" t="str">
        <f>MID(VLOOKUP($A215,Seqs!$A:$B,2,FALSE),VLOOKUP($A215,'NonXtal_SegEnds_Prot#'!$A:$AL,28,FALSE),1)</f>
        <v>P</v>
      </c>
    </row>
    <row r="216" spans="1:29" s="2" customFormat="1" x14ac:dyDescent="0.2">
      <c r="A216" s="2" t="s">
        <v>1391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1553</v>
      </c>
      <c r="P216" s="4" t="s">
        <v>51</v>
      </c>
      <c r="R216" s="64" t="str">
        <f>MID(VLOOKUP($A216,Seqs!$A:$B,2,FALSE),VLOOKUP($A216,'NonXtal_SegEnds_Prot#'!A:AL,10,FALSE),1)</f>
        <v>D</v>
      </c>
      <c r="S216" s="90" t="str">
        <f>MID(VLOOKUP($A216,Seqs!$A:$B,2,FALSE),VLOOKUP($A216,'NonXtal_SegEnds_Prot#'!A:AL,10,FALSE)+6,1)</f>
        <v>S</v>
      </c>
      <c r="T216" s="90" t="str">
        <f>MID(VLOOKUP($A216,Seqs!$A:$B,2,FALSE),VLOOKUP($A216,'NonXtal_SegEnds_Prot#'!A:AL,10,FALSE)+7,1)</f>
        <v>L</v>
      </c>
      <c r="U216" s="90" t="str">
        <f>MID(VLOOKUP($A216,Seqs!$A:$B,2,FALSE),VLOOKUP($A216,'NonXtal_SegEnds_Prot#'!A:AL,10,FALSE)+8,1)</f>
        <v>P</v>
      </c>
      <c r="V216" s="90" t="str">
        <f>MID(VLOOKUP($A216,Seqs!$A:$B,2,FALSE),VLOOKUP($A216,'NonXtal_SegEnds_Prot#'!A:AL,10,FALSE)+9,1)</f>
        <v>L</v>
      </c>
      <c r="W216" s="64" t="str">
        <f>MID(VLOOKUP($A216,Seqs!$A:$B,2,FALSE),VLOOKUP($A216,'NonXtal_SegEnds_Prot#'!$A:$AL,22,FALSE)+6,1)</f>
        <v>H</v>
      </c>
      <c r="X216" s="90" t="str">
        <f>MID(VLOOKUP($A216,Seqs!$A:$B,2,FALSE),VLOOKUP($A216,'NonXtal_SegEnds_Prot#'!$A:$AL,22,FALSE)+7,1)</f>
        <v>L</v>
      </c>
      <c r="Y216" s="90" t="str">
        <f>MID(VLOOKUP($A216,Seqs!$A:$B,2,FALSE),VLOOKUP($A216,'NonXtal_SegEnds_Prot#'!$A:$AL,22,FALSE)+8,1)</f>
        <v>G</v>
      </c>
      <c r="Z216" s="90" t="str">
        <f>MID(VLOOKUP($A216,Seqs!$A:$B,2,FALSE),VLOOKUP($A216,'NonXtal_SegEnds_Prot#'!$A:$AL,22,FALSE)+9,1)</f>
        <v>L</v>
      </c>
      <c r="AA216" s="90" t="str">
        <f>MID(VLOOKUP($A216,Seqs!$A:$B,2,FALSE),VLOOKUP($A216,'NonXtal_SegEnds_Prot#'!$A:$AL,22,FALSE)+10,1)</f>
        <v>V</v>
      </c>
      <c r="AB216" s="64" t="str">
        <f>MID(VLOOKUP($A216,Seqs!$A:$B,2,FALSE),VLOOKUP($A216,'NonXtal_SegEnds_Prot#'!$A:$AL,28,FALSE)-4,1)</f>
        <v>L</v>
      </c>
      <c r="AC216" s="90" t="str">
        <f>MID(VLOOKUP($A216,Seqs!$A:$B,2,FALSE),VLOOKUP($A216,'NonXtal_SegEnds_Prot#'!$A:$AL,28,FALSE),1)</f>
        <v>P</v>
      </c>
    </row>
    <row r="217" spans="1:29" s="2" customFormat="1" x14ac:dyDescent="0.2">
      <c r="A217" s="2" t="s">
        <v>447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64" t="str">
        <f>MID(VLOOKUP($A217,Seqs!$A:$B,2,FALSE),VLOOKUP($A217,'NonXtal_SegEnds_Prot#'!A:AL,10,FALSE),1)</f>
        <v>D</v>
      </c>
      <c r="S217" s="90" t="str">
        <f>MID(VLOOKUP($A217,Seqs!$A:$B,2,FALSE),VLOOKUP($A217,'NonXtal_SegEnds_Prot#'!A:AL,10,FALSE)+6,1)</f>
        <v>T</v>
      </c>
      <c r="T217" s="90" t="str">
        <f>MID(VLOOKUP($A217,Seqs!$A:$B,2,FALSE),VLOOKUP($A217,'NonXtal_SegEnds_Prot#'!A:AL,10,FALSE)+7,1)</f>
        <v>L</v>
      </c>
      <c r="U217" s="90" t="str">
        <f>MID(VLOOKUP($A217,Seqs!$A:$B,2,FALSE),VLOOKUP($A217,'NonXtal_SegEnds_Prot#'!A:AL,10,FALSE)+8,1)</f>
        <v>P</v>
      </c>
      <c r="V217" s="90" t="str">
        <f>MID(VLOOKUP($A217,Seqs!$A:$B,2,FALSE),VLOOKUP($A217,'NonXtal_SegEnds_Prot#'!A:AL,10,FALSE)+9,1)</f>
        <v>F</v>
      </c>
      <c r="W217" s="64" t="str">
        <f>MID(VLOOKUP($A217,Seqs!$A:$B,2,FALSE),VLOOKUP($A217,'NonXtal_SegEnds_Prot#'!$A:$AL,22,FALSE)+6,1)</f>
        <v>S</v>
      </c>
      <c r="X217" s="90" t="str">
        <f>MID(VLOOKUP($A217,Seqs!$A:$B,2,FALSE),VLOOKUP($A217,'NonXtal_SegEnds_Prot#'!$A:$AL,22,FALSE)+7,1)</f>
        <v>L</v>
      </c>
      <c r="Y217" s="90" t="str">
        <f>MID(VLOOKUP($A217,Seqs!$A:$B,2,FALSE),VLOOKUP($A217,'NonXtal_SegEnds_Prot#'!$A:$AL,22,FALSE)+8,1)</f>
        <v>V</v>
      </c>
      <c r="Z217" s="90" t="str">
        <f>MID(VLOOKUP($A217,Seqs!$A:$B,2,FALSE),VLOOKUP($A217,'NonXtal_SegEnds_Prot#'!$A:$AL,22,FALSE)+9,1)</f>
        <v>A</v>
      </c>
      <c r="AA217" s="90" t="str">
        <f>MID(VLOOKUP($A217,Seqs!$A:$B,2,FALSE),VLOOKUP($A217,'NonXtal_SegEnds_Prot#'!$A:$AL,22,FALSE)+10,1)</f>
        <v>R</v>
      </c>
      <c r="AB217" s="64" t="str">
        <f>MID(VLOOKUP($A217,Seqs!$A:$B,2,FALSE),VLOOKUP($A217,'NonXtal_SegEnds_Prot#'!$A:$AL,28,FALSE)-4,1)</f>
        <v>G</v>
      </c>
      <c r="AC217" s="90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540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1553</v>
      </c>
      <c r="P218" s="4" t="s">
        <v>51</v>
      </c>
      <c r="R218" s="64" t="str">
        <f>MID(VLOOKUP($A218,Seqs!$A:$B,2,FALSE),VLOOKUP($A218,'NonXtal_SegEnds_Prot#'!A:AL,10,FALSE),1)</f>
        <v>D</v>
      </c>
      <c r="S218" s="90" t="str">
        <f>MID(VLOOKUP($A218,Seqs!$A:$B,2,FALSE),VLOOKUP($A218,'NonXtal_SegEnds_Prot#'!A:AL,10,FALSE)+6,1)</f>
        <v>S</v>
      </c>
      <c r="T218" s="90" t="str">
        <f>MID(VLOOKUP($A218,Seqs!$A:$B,2,FALSE),VLOOKUP($A218,'NonXtal_SegEnds_Prot#'!A:AL,10,FALSE)+7,1)</f>
        <v>L</v>
      </c>
      <c r="U218" s="90" t="str">
        <f>MID(VLOOKUP($A218,Seqs!$A:$B,2,FALSE),VLOOKUP($A218,'NonXtal_SegEnds_Prot#'!A:AL,10,FALSE)+8,1)</f>
        <v>P</v>
      </c>
      <c r="V218" s="90" t="str">
        <f>MID(VLOOKUP($A218,Seqs!$A:$B,2,FALSE),VLOOKUP($A218,'NonXtal_SegEnds_Prot#'!A:AL,10,FALSE)+9,1)</f>
        <v>T</v>
      </c>
      <c r="W218" s="64" t="str">
        <f>MID(VLOOKUP($A218,Seqs!$A:$B,2,FALSE),VLOOKUP($A218,'NonXtal_SegEnds_Prot#'!$A:$AL,22,FALSE)+6,1)</f>
        <v>C</v>
      </c>
      <c r="X218" s="90" t="str">
        <f>MID(VLOOKUP($A218,Seqs!$A:$B,2,FALSE),VLOOKUP($A218,'NonXtal_SegEnds_Prot#'!$A:$AL,22,FALSE)+7,1)</f>
        <v>L</v>
      </c>
      <c r="Y218" s="90" t="str">
        <f>MID(VLOOKUP($A218,Seqs!$A:$B,2,FALSE),VLOOKUP($A218,'NonXtal_SegEnds_Prot#'!$A:$AL,22,FALSE)+8,1)</f>
        <v>V</v>
      </c>
      <c r="Z218" s="90" t="str">
        <f>MID(VLOOKUP($A218,Seqs!$A:$B,2,FALSE),VLOOKUP($A218,'NonXtal_SegEnds_Prot#'!$A:$AL,22,FALSE)+9,1)</f>
        <v>P</v>
      </c>
      <c r="AA218" s="90" t="str">
        <f>MID(VLOOKUP($A218,Seqs!$A:$B,2,FALSE),VLOOKUP($A218,'NonXtal_SegEnds_Prot#'!$A:$AL,22,FALSE)+10,1)</f>
        <v>N</v>
      </c>
      <c r="AB218" s="64" t="str">
        <f>MID(VLOOKUP($A218,Seqs!$A:$B,2,FALSE),VLOOKUP($A218,'NonXtal_SegEnds_Prot#'!$A:$AL,28,FALSE)-4,1)</f>
        <v>L</v>
      </c>
      <c r="AC218" s="90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542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1553</v>
      </c>
      <c r="P219" s="4" t="s">
        <v>51</v>
      </c>
      <c r="R219" s="64" t="str">
        <f>MID(VLOOKUP($A219,Seqs!$A:$B,2,FALSE),VLOOKUP($A219,'NonXtal_SegEnds_Prot#'!A:AL,10,FALSE),1)</f>
        <v>D</v>
      </c>
      <c r="S219" s="90" t="str">
        <f>MID(VLOOKUP($A219,Seqs!$A:$B,2,FALSE),VLOOKUP($A219,'NonXtal_SegEnds_Prot#'!A:AL,10,FALSE)+6,1)</f>
        <v>V</v>
      </c>
      <c r="T219" s="90" t="str">
        <f>MID(VLOOKUP($A219,Seqs!$A:$B,2,FALSE),VLOOKUP($A219,'NonXtal_SegEnds_Prot#'!A:AL,10,FALSE)+7,1)</f>
        <v>L</v>
      </c>
      <c r="U219" s="90" t="str">
        <f>MID(VLOOKUP($A219,Seqs!$A:$B,2,FALSE),VLOOKUP($A219,'NonXtal_SegEnds_Prot#'!A:AL,10,FALSE)+8,1)</f>
        <v>P</v>
      </c>
      <c r="V219" s="90" t="str">
        <f>MID(VLOOKUP($A219,Seqs!$A:$B,2,FALSE),VLOOKUP($A219,'NonXtal_SegEnds_Prot#'!A:AL,10,FALSE)+9,1)</f>
        <v>F</v>
      </c>
      <c r="W219" s="64" t="str">
        <f>MID(VLOOKUP($A219,Seqs!$A:$B,2,FALSE),VLOOKUP($A219,'NonXtal_SegEnds_Prot#'!$A:$AL,22,FALSE)+6,1)</f>
        <v>A</v>
      </c>
      <c r="X219" s="90" t="str">
        <f>MID(VLOOKUP($A219,Seqs!$A:$B,2,FALSE),VLOOKUP($A219,'NonXtal_SegEnds_Prot#'!$A:$AL,22,FALSE)+7,1)</f>
        <v>L</v>
      </c>
      <c r="Y219" s="90" t="str">
        <f>MID(VLOOKUP($A219,Seqs!$A:$B,2,FALSE),VLOOKUP($A219,'NonXtal_SegEnds_Prot#'!$A:$AL,22,FALSE)+8,1)</f>
        <v>S</v>
      </c>
      <c r="Z219" s="90" t="str">
        <f>MID(VLOOKUP($A219,Seqs!$A:$B,2,FALSE),VLOOKUP($A219,'NonXtal_SegEnds_Prot#'!$A:$AL,22,FALSE)+9,1)</f>
        <v>P</v>
      </c>
      <c r="AA219" s="90" t="str">
        <f>MID(VLOOKUP($A219,Seqs!$A:$B,2,FALSE),VLOOKUP($A219,'NonXtal_SegEnds_Prot#'!$A:$AL,22,FALSE)+10,1)</f>
        <v>L</v>
      </c>
      <c r="AB219" s="64" t="str">
        <f>MID(VLOOKUP($A219,Seqs!$A:$B,2,FALSE),VLOOKUP($A219,'NonXtal_SegEnds_Prot#'!$A:$AL,28,FALSE)-4,1)</f>
        <v>L</v>
      </c>
      <c r="AC219" s="90" t="str">
        <f>MID(VLOOKUP($A219,Seqs!$A:$B,2,FALSE),VLOOKUP($A219,'NonXtal_SegEnds_Prot#'!$A:$AL,28,FALSE),1)</f>
        <v>P</v>
      </c>
    </row>
    <row r="220" spans="1:29" s="2" customFormat="1" x14ac:dyDescent="0.2">
      <c r="A220" s="2" t="s">
        <v>450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64" t="str">
        <f>MID(VLOOKUP($A220,Seqs!$A:$B,2,FALSE),VLOOKUP($A220,'NonXtal_SegEnds_Prot#'!A:AL,10,FALSE),1)</f>
        <v>D</v>
      </c>
      <c r="S220" s="90" t="str">
        <f>MID(VLOOKUP($A220,Seqs!$A:$B,2,FALSE),VLOOKUP($A220,'NonXtal_SegEnds_Prot#'!A:AL,10,FALSE)+6,1)</f>
        <v>T</v>
      </c>
      <c r="T220" s="90" t="str">
        <f>MID(VLOOKUP($A220,Seqs!$A:$B,2,FALSE),VLOOKUP($A220,'NonXtal_SegEnds_Prot#'!A:AL,10,FALSE)+7,1)</f>
        <v>L</v>
      </c>
      <c r="U220" s="90" t="str">
        <f>MID(VLOOKUP($A220,Seqs!$A:$B,2,FALSE),VLOOKUP($A220,'NonXtal_SegEnds_Prot#'!A:AL,10,FALSE)+8,1)</f>
        <v>P</v>
      </c>
      <c r="V220" s="90" t="str">
        <f>MID(VLOOKUP($A220,Seqs!$A:$B,2,FALSE),VLOOKUP($A220,'NonXtal_SegEnds_Prot#'!A:AL,10,FALSE)+9,1)</f>
        <v>L</v>
      </c>
      <c r="W220" s="64" t="str">
        <f>MID(VLOOKUP($A220,Seqs!$A:$B,2,FALSE),VLOOKUP($A220,'NonXtal_SegEnds_Prot#'!$A:$AL,22,FALSE)+6,1)</f>
        <v>A</v>
      </c>
      <c r="X220" s="90" t="str">
        <f>MID(VLOOKUP($A220,Seqs!$A:$B,2,FALSE),VLOOKUP($A220,'NonXtal_SegEnds_Prot#'!$A:$AL,22,FALSE)+7,1)</f>
        <v>N</v>
      </c>
      <c r="Y220" s="90" t="str">
        <f>MID(VLOOKUP($A220,Seqs!$A:$B,2,FALSE),VLOOKUP($A220,'NonXtal_SegEnds_Prot#'!$A:$AL,22,FALSE)+8,1)</f>
        <v>S</v>
      </c>
      <c r="Z220" s="90" t="str">
        <f>MID(VLOOKUP($A220,Seqs!$A:$B,2,FALSE),VLOOKUP($A220,'NonXtal_SegEnds_Prot#'!$A:$AL,22,FALSE)+9,1)</f>
        <v>A</v>
      </c>
      <c r="AA220" s="90" t="str">
        <f>MID(VLOOKUP($A220,Seqs!$A:$B,2,FALSE),VLOOKUP($A220,'NonXtal_SegEnds_Prot#'!$A:$AL,22,FALSE)+10,1)</f>
        <v>P</v>
      </c>
      <c r="AB220" s="64" t="str">
        <f>MID(VLOOKUP($A220,Seqs!$A:$B,2,FALSE),VLOOKUP($A220,'NonXtal_SegEnds_Prot#'!$A:$AL,28,FALSE)-4,1)</f>
        <v>G</v>
      </c>
      <c r="AC220" s="90" t="str">
        <f>MID(VLOOKUP($A220,Seqs!$A:$B,2,FALSE),VLOOKUP($A220,'NonXtal_SegEnds_Prot#'!$A:$AL,28,FALSE),1)</f>
        <v>P</v>
      </c>
    </row>
    <row r="221" spans="1:29" s="2" customFormat="1" x14ac:dyDescent="0.2">
      <c r="A221" s="2" t="s">
        <v>488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64" t="str">
        <f>MID(VLOOKUP($A221,Seqs!$A:$B,2,FALSE),VLOOKUP($A221,'NonXtal_SegEnds_Prot#'!A:AL,10,FALSE),1)</f>
        <v>D</v>
      </c>
      <c r="S221" s="90" t="str">
        <f>MID(VLOOKUP($A221,Seqs!$A:$B,2,FALSE),VLOOKUP($A221,'NonXtal_SegEnds_Prot#'!A:AL,10,FALSE)+6,1)</f>
        <v>C</v>
      </c>
      <c r="T221" s="90" t="str">
        <f>MID(VLOOKUP($A221,Seqs!$A:$B,2,FALSE),VLOOKUP($A221,'NonXtal_SegEnds_Prot#'!A:AL,10,FALSE)+7,1)</f>
        <v>S</v>
      </c>
      <c r="U221" s="90" t="str">
        <f>MID(VLOOKUP($A221,Seqs!$A:$B,2,FALSE),VLOOKUP($A221,'NonXtal_SegEnds_Prot#'!A:AL,10,FALSE)+8,1)</f>
        <v>A</v>
      </c>
      <c r="V221" s="90" t="str">
        <f>MID(VLOOKUP($A221,Seqs!$A:$B,2,FALSE),VLOOKUP($A221,'NonXtal_SegEnds_Prot#'!A:AL,10,FALSE)+9,1)</f>
        <v>V</v>
      </c>
      <c r="W221" s="64" t="str">
        <f>MID(VLOOKUP($A221,Seqs!$A:$B,2,FALSE),VLOOKUP($A221,'NonXtal_SegEnds_Prot#'!$A:$AL,22,FALSE)+6,1)</f>
        <v>I</v>
      </c>
      <c r="X221" s="90" t="str">
        <f>MID(VLOOKUP($A221,Seqs!$A:$B,2,FALSE),VLOOKUP($A221,'NonXtal_SegEnds_Prot#'!$A:$AL,22,FALSE)+7,1)</f>
        <v>N</v>
      </c>
      <c r="Y221" s="90" t="str">
        <f>MID(VLOOKUP($A221,Seqs!$A:$B,2,FALSE),VLOOKUP($A221,'NonXtal_SegEnds_Prot#'!$A:$AL,22,FALSE)+8,1)</f>
        <v>I</v>
      </c>
      <c r="Z221" s="90" t="str">
        <f>MID(VLOOKUP($A221,Seqs!$A:$B,2,FALSE),VLOOKUP($A221,'NonXtal_SegEnds_Prot#'!$A:$AL,22,FALSE)+9,1)</f>
        <v>V</v>
      </c>
      <c r="AA221" s="90" t="str">
        <f>MID(VLOOKUP($A221,Seqs!$A:$B,2,FALSE),VLOOKUP($A221,'NonXtal_SegEnds_Prot#'!$A:$AL,22,FALSE)+10,1)</f>
        <v>K</v>
      </c>
      <c r="AB221" s="64" t="str">
        <f>MID(VLOOKUP($A221,Seqs!$A:$B,2,FALSE),VLOOKUP($A221,'NonXtal_SegEnds_Prot#'!$A:$AL,28,FALSE)-4,1)</f>
        <v>A</v>
      </c>
      <c r="AC221" s="90" t="str">
        <f>MID(VLOOKUP($A221,Seqs!$A:$B,2,FALSE),VLOOKUP($A221,'NonXtal_SegEnds_Prot#'!$A:$AL,28,FALSE),1)</f>
        <v>L</v>
      </c>
    </row>
    <row r="222" spans="1:29" s="2" customFormat="1" x14ac:dyDescent="0.2">
      <c r="A222" s="2" t="s">
        <v>494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64" t="str">
        <f>MID(VLOOKUP($A222,Seqs!$A:$B,2,FALSE),VLOOKUP($A222,'NonXtal_SegEnds_Prot#'!A:AL,10,FALSE),1)</f>
        <v>D</v>
      </c>
      <c r="S222" s="90" t="str">
        <f>MID(VLOOKUP($A222,Seqs!$A:$B,2,FALSE),VLOOKUP($A222,'NonXtal_SegEnds_Prot#'!A:AL,10,FALSE)+6,1)</f>
        <v>S</v>
      </c>
      <c r="T222" s="90" t="str">
        <f>MID(VLOOKUP($A222,Seqs!$A:$B,2,FALSE),VLOOKUP($A222,'NonXtal_SegEnds_Prot#'!A:AL,10,FALSE)+7,1)</f>
        <v>M</v>
      </c>
      <c r="U222" s="90" t="str">
        <f>MID(VLOOKUP($A222,Seqs!$A:$B,2,FALSE),VLOOKUP($A222,'NonXtal_SegEnds_Prot#'!A:AL,10,FALSE)+8,1)</f>
        <v>A</v>
      </c>
      <c r="V222" s="90" t="str">
        <f>MID(VLOOKUP($A222,Seqs!$A:$B,2,FALSE),VLOOKUP($A222,'NonXtal_SegEnds_Prot#'!A:AL,10,FALSE)+9,1)</f>
        <v>S</v>
      </c>
      <c r="W222" s="64" t="str">
        <f>MID(VLOOKUP($A222,Seqs!$A:$B,2,FALSE),VLOOKUP($A222,'NonXtal_SegEnds_Prot#'!$A:$AL,22,FALSE)+6,1)</f>
        <v>M</v>
      </c>
      <c r="X222" s="90" t="str">
        <f>MID(VLOOKUP($A222,Seqs!$A:$B,2,FALSE),VLOOKUP($A222,'NonXtal_SegEnds_Prot#'!$A:$AL,22,FALSE)+7,1)</f>
        <v>N</v>
      </c>
      <c r="Y222" s="90" t="str">
        <f>MID(VLOOKUP($A222,Seqs!$A:$B,2,FALSE),VLOOKUP($A222,'NonXtal_SegEnds_Prot#'!$A:$AL,22,FALSE)+8,1)</f>
        <v>G</v>
      </c>
      <c r="Z222" s="90" t="str">
        <f>MID(VLOOKUP($A222,Seqs!$A:$B,2,FALSE),VLOOKUP($A222,'NonXtal_SegEnds_Prot#'!$A:$AL,22,FALSE)+9,1)</f>
        <v>L</v>
      </c>
      <c r="AA222" s="90" t="str">
        <f>MID(VLOOKUP($A222,Seqs!$A:$B,2,FALSE),VLOOKUP($A222,'NonXtal_SegEnds_Prot#'!$A:$AL,22,FALSE)+10,1)</f>
        <v>T</v>
      </c>
      <c r="AB222" s="64" t="str">
        <f>MID(VLOOKUP($A222,Seqs!$A:$B,2,FALSE),VLOOKUP($A222,'NonXtal_SegEnds_Prot#'!$A:$AL,28,FALSE)-4,1)</f>
        <v>G</v>
      </c>
      <c r="AC222" s="90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535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64" t="str">
        <f>MID(VLOOKUP($A223,Seqs!$A:$B,2,FALSE),VLOOKUP($A223,'NonXtal_SegEnds_Prot#'!A:AL,10,FALSE),1)</f>
        <v>D</v>
      </c>
      <c r="S223" s="90" t="str">
        <f>MID(VLOOKUP($A223,Seqs!$A:$B,2,FALSE),VLOOKUP($A223,'NonXtal_SegEnds_Prot#'!A:AL,10,FALSE)+6,1)</f>
        <v>N</v>
      </c>
      <c r="T223" s="90" t="str">
        <f>MID(VLOOKUP($A223,Seqs!$A:$B,2,FALSE),VLOOKUP($A223,'NonXtal_SegEnds_Prot#'!A:AL,10,FALSE)+7,1)</f>
        <v>L</v>
      </c>
      <c r="U223" s="90" t="str">
        <f>MID(VLOOKUP($A223,Seqs!$A:$B,2,FALSE),VLOOKUP($A223,'NonXtal_SegEnds_Prot#'!A:AL,10,FALSE)+8,1)</f>
        <v>P</v>
      </c>
      <c r="V223" s="90" t="str">
        <f>MID(VLOOKUP($A223,Seqs!$A:$B,2,FALSE),VLOOKUP($A223,'NonXtal_SegEnds_Prot#'!A:AL,10,FALSE)+9,1)</f>
        <v>L</v>
      </c>
      <c r="W223" s="64" t="str">
        <f>MID(VLOOKUP($A223,Seqs!$A:$B,2,FALSE),VLOOKUP($A223,'NonXtal_SegEnds_Prot#'!$A:$AL,22,FALSE)+6,1)</f>
        <v>L</v>
      </c>
      <c r="X223" s="90" t="str">
        <f>MID(VLOOKUP($A223,Seqs!$A:$B,2,FALSE),VLOOKUP($A223,'NonXtal_SegEnds_Prot#'!$A:$AL,22,FALSE)+7,1)</f>
        <v>N</v>
      </c>
      <c r="Y223" s="90" t="str">
        <f>MID(VLOOKUP($A223,Seqs!$A:$B,2,FALSE),VLOOKUP($A223,'NonXtal_SegEnds_Prot#'!$A:$AL,22,FALSE)+8,1)</f>
        <v>G</v>
      </c>
      <c r="Z223" s="90" t="str">
        <f>MID(VLOOKUP($A223,Seqs!$A:$B,2,FALSE),VLOOKUP($A223,'NonXtal_SegEnds_Prot#'!$A:$AL,22,FALSE)+9,1)</f>
        <v>H</v>
      </c>
      <c r="AA223" s="90" t="str">
        <f>MID(VLOOKUP($A223,Seqs!$A:$B,2,FALSE),VLOOKUP($A223,'NonXtal_SegEnds_Prot#'!$A:$AL,22,FALSE)+10,1)</f>
        <v>L</v>
      </c>
      <c r="AB223" s="64" t="str">
        <f>MID(VLOOKUP($A223,Seqs!$A:$B,2,FALSE),VLOOKUP($A223,'NonXtal_SegEnds_Prot#'!$A:$AL,28,FALSE)-4,1)</f>
        <v>E</v>
      </c>
      <c r="AC223" s="90" t="str">
        <f>MID(VLOOKUP($A223,Seqs!$A:$B,2,FALSE),VLOOKUP($A223,'NonXtal_SegEnds_Prot#'!$A:$AL,28,FALSE),1)</f>
        <v>P</v>
      </c>
    </row>
    <row r="224" spans="1:29" s="78" customFormat="1" x14ac:dyDescent="0.2">
      <c r="A224" s="2" t="s">
        <v>563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64" t="str">
        <f>MID(VLOOKUP($A224,Seqs!$A:$B,2,FALSE),VLOOKUP($A224,'NonXtal_SegEnds_Prot#'!A:AL,10,FALSE),1)</f>
        <v>D</v>
      </c>
      <c r="S224" s="90" t="str">
        <f>MID(VLOOKUP($A224,Seqs!$A:$B,2,FALSE),VLOOKUP($A224,'NonXtal_SegEnds_Prot#'!A:AL,10,FALSE)+6,1)</f>
        <v>T</v>
      </c>
      <c r="T224" s="90" t="str">
        <f>MID(VLOOKUP($A224,Seqs!$A:$B,2,FALSE),VLOOKUP($A224,'NonXtal_SegEnds_Prot#'!A:AL,10,FALSE)+7,1)</f>
        <v>L</v>
      </c>
      <c r="U224" s="90" t="str">
        <f>MID(VLOOKUP($A224,Seqs!$A:$B,2,FALSE),VLOOKUP($A224,'NonXtal_SegEnds_Prot#'!A:AL,10,FALSE)+8,1)</f>
        <v>P</v>
      </c>
      <c r="V224" s="90" t="str">
        <f>MID(VLOOKUP($A224,Seqs!$A:$B,2,FALSE),VLOOKUP($A224,'NonXtal_SegEnds_Prot#'!A:AL,10,FALSE)+9,1)</f>
        <v>L</v>
      </c>
      <c r="W224" s="64" t="str">
        <f>MID(VLOOKUP($A224,Seqs!$A:$B,2,FALSE),VLOOKUP($A224,'NonXtal_SegEnds_Prot#'!$A:$AL,22,FALSE)+6,1)</f>
        <v>F</v>
      </c>
      <c r="X224" s="90" t="str">
        <f>MID(VLOOKUP($A224,Seqs!$A:$B,2,FALSE),VLOOKUP($A224,'NonXtal_SegEnds_Prot#'!$A:$AL,22,FALSE)+7,1)</f>
        <v>N</v>
      </c>
      <c r="Y224" s="90" t="str">
        <f>MID(VLOOKUP($A224,Seqs!$A:$B,2,FALSE),VLOOKUP($A224,'NonXtal_SegEnds_Prot#'!$A:$AL,22,FALSE)+8,1)</f>
        <v>A</v>
      </c>
      <c r="Z224" s="90" t="str">
        <f>MID(VLOOKUP($A224,Seqs!$A:$B,2,FALSE),VLOOKUP($A224,'NonXtal_SegEnds_Prot#'!$A:$AL,22,FALSE)+9,1)</f>
        <v>V</v>
      </c>
      <c r="AA224" s="90" t="str">
        <f>MID(VLOOKUP($A224,Seqs!$A:$B,2,FALSE),VLOOKUP($A224,'NonXtal_SegEnds_Prot#'!$A:$AL,22,FALSE)+10,1)</f>
        <v>M</v>
      </c>
      <c r="AB224" s="64" t="str">
        <f>MID(VLOOKUP($A224,Seqs!$A:$B,2,FALSE),VLOOKUP($A224,'NonXtal_SegEnds_Prot#'!$A:$AL,28,FALSE)-4,1)</f>
        <v>G</v>
      </c>
      <c r="AC224" s="90" t="str">
        <f>MID(VLOOKUP($A224,Seqs!$A:$B,2,FALSE),VLOOKUP($A224,'NonXtal_SegEnds_Prot#'!$A:$AL,28,FALSE),1)</f>
        <v>P</v>
      </c>
    </row>
    <row r="225" spans="1:29" s="2" customFormat="1" x14ac:dyDescent="0.2">
      <c r="A225" s="2" t="s">
        <v>413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64" t="str">
        <f>MID(VLOOKUP($A225,Seqs!$A:$B,2,FALSE),VLOOKUP($A225,'NonXtal_SegEnds_Prot#'!A:AL,10,FALSE),1)</f>
        <v>D</v>
      </c>
      <c r="S225" s="90" t="str">
        <f>MID(VLOOKUP($A225,Seqs!$A:$B,2,FALSE),VLOOKUP($A225,'NonXtal_SegEnds_Prot#'!A:AL,10,FALSE)+6,1)</f>
        <v>L</v>
      </c>
      <c r="T225" s="90" t="str">
        <f>MID(VLOOKUP($A225,Seqs!$A:$B,2,FALSE),VLOOKUP($A225,'NonXtal_SegEnds_Prot#'!A:AL,10,FALSE)+7,1)</f>
        <v>H</v>
      </c>
      <c r="U225" s="90" t="str">
        <f>MID(VLOOKUP($A225,Seqs!$A:$B,2,FALSE),VLOOKUP($A225,'NonXtal_SegEnds_Prot#'!A:AL,10,FALSE)+8,1)</f>
        <v>M</v>
      </c>
      <c r="V225" s="90" t="str">
        <f>MID(VLOOKUP($A225,Seqs!$A:$B,2,FALSE),VLOOKUP($A225,'NonXtal_SegEnds_Prot#'!A:AL,10,FALSE)+9,1)</f>
        <v>L</v>
      </c>
      <c r="W225" s="64" t="str">
        <f>MID(VLOOKUP($A225,Seqs!$A:$B,2,FALSE),VLOOKUP($A225,'NonXtal_SegEnds_Prot#'!$A:$AL,22,FALSE)+6,1)</f>
        <v>F</v>
      </c>
      <c r="X225" s="90" t="str">
        <f>MID(VLOOKUP($A225,Seqs!$A:$B,2,FALSE),VLOOKUP($A225,'NonXtal_SegEnds_Prot#'!$A:$AL,22,FALSE)+7,1)</f>
        <v>P</v>
      </c>
      <c r="Y225" s="90" t="str">
        <f>MID(VLOOKUP($A225,Seqs!$A:$B,2,FALSE),VLOOKUP($A225,'NonXtal_SegEnds_Prot#'!$A:$AL,22,FALSE)+8,1)</f>
        <v>T</v>
      </c>
      <c r="Z225" s="90" t="str">
        <f>MID(VLOOKUP($A225,Seqs!$A:$B,2,FALSE),VLOOKUP($A225,'NonXtal_SegEnds_Prot#'!$A:$AL,22,FALSE)+9,1)</f>
        <v>F</v>
      </c>
      <c r="AA225" s="90" t="str">
        <f>MID(VLOOKUP($A225,Seqs!$A:$B,2,FALSE),VLOOKUP($A225,'NonXtal_SegEnds_Prot#'!$A:$AL,22,FALSE)+10,1)</f>
        <v>L</v>
      </c>
      <c r="AB225" s="64" t="str">
        <f>MID(VLOOKUP($A225,Seqs!$A:$B,2,FALSE),VLOOKUP($A225,'NonXtal_SegEnds_Prot#'!$A:$AL,28,FALSE)-4,1)</f>
        <v>M</v>
      </c>
      <c r="AC225" s="90" t="str">
        <f>MID(VLOOKUP($A225,Seqs!$A:$B,2,FALSE),VLOOKUP($A225,'NonXtal_SegEnds_Prot#'!$A:$AL,28,FALSE),1)</f>
        <v>P</v>
      </c>
    </row>
    <row r="226" spans="1:29" s="2" customFormat="1" x14ac:dyDescent="0.2">
      <c r="A226" s="2" t="s">
        <v>440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64" t="str">
        <f>MID(VLOOKUP($A226,Seqs!$A:$B,2,FALSE),VLOOKUP($A226,'NonXtal_SegEnds_Prot#'!A:AL,10,FALSE),1)</f>
        <v>N</v>
      </c>
      <c r="S226" s="90" t="str">
        <f>MID(VLOOKUP($A226,Seqs!$A:$B,2,FALSE),VLOOKUP($A226,'NonXtal_SegEnds_Prot#'!A:AL,10,FALSE)+6,1)</f>
        <v>V</v>
      </c>
      <c r="T226" s="90" t="str">
        <f>MID(VLOOKUP($A226,Seqs!$A:$B,2,FALSE),VLOOKUP($A226,'NonXtal_SegEnds_Prot#'!A:AL,10,FALSE)+7,1)</f>
        <v>N</v>
      </c>
      <c r="U226" s="90" t="str">
        <f>MID(VLOOKUP($A226,Seqs!$A:$B,2,FALSE),VLOOKUP($A226,'NonXtal_SegEnds_Prot#'!A:AL,10,FALSE)+8,1)</f>
        <v>M</v>
      </c>
      <c r="V226" s="90" t="str">
        <f>MID(VLOOKUP($A226,Seqs!$A:$B,2,FALSE),VLOOKUP($A226,'NonXtal_SegEnds_Prot#'!A:AL,10,FALSE)+9,1)</f>
        <v>P</v>
      </c>
      <c r="W226" s="64" t="str">
        <f>MID(VLOOKUP($A226,Seqs!$A:$B,2,FALSE),VLOOKUP($A226,'NonXtal_SegEnds_Prot#'!$A:$AL,22,FALSE)+6,1)</f>
        <v>F</v>
      </c>
      <c r="X226" s="90" t="str">
        <f>MID(VLOOKUP($A226,Seqs!$A:$B,2,FALSE),VLOOKUP($A226,'NonXtal_SegEnds_Prot#'!$A:$AL,22,FALSE)+7,1)</f>
        <v>P</v>
      </c>
      <c r="Y226" s="90" t="str">
        <f>MID(VLOOKUP($A226,Seqs!$A:$B,2,FALSE),VLOOKUP($A226,'NonXtal_SegEnds_Prot#'!$A:$AL,22,FALSE)+8,1)</f>
        <v>A</v>
      </c>
      <c r="Z226" s="90" t="str">
        <f>MID(VLOOKUP($A226,Seqs!$A:$B,2,FALSE),VLOOKUP($A226,'NonXtal_SegEnds_Prot#'!$A:$AL,22,FALSE)+9,1)</f>
        <v>A</v>
      </c>
      <c r="AA226" s="90" t="str">
        <f>MID(VLOOKUP($A226,Seqs!$A:$B,2,FALSE),VLOOKUP($A226,'NonXtal_SegEnds_Prot#'!$A:$AL,22,FALSE)+10,1)</f>
        <v>A</v>
      </c>
      <c r="AB226" s="64" t="str">
        <f>MID(VLOOKUP($A226,Seqs!$A:$B,2,FALSE),VLOOKUP($A226,'NonXtal_SegEnds_Prot#'!$A:$AL,28,FALSE)-4,1)</f>
        <v>S</v>
      </c>
      <c r="AC226" s="90" t="str">
        <f>MID(VLOOKUP($A226,Seqs!$A:$B,2,FALSE),VLOOKUP($A226,'NonXtal_SegEnds_Prot#'!$A:$AL,28,FALSE),1)</f>
        <v>S</v>
      </c>
    </row>
    <row r="227" spans="1:29" s="2" customFormat="1" x14ac:dyDescent="0.2">
      <c r="A227" s="2" t="s">
        <v>539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1553</v>
      </c>
      <c r="P227" s="4" t="s">
        <v>51</v>
      </c>
      <c r="R227" s="64" t="str">
        <f>MID(VLOOKUP($A227,Seqs!$A:$B,2,FALSE),VLOOKUP($A227,'NonXtal_SegEnds_Prot#'!A:AL,10,FALSE),1)</f>
        <v>D</v>
      </c>
      <c r="S227" s="90" t="str">
        <f>MID(VLOOKUP($A227,Seqs!$A:$B,2,FALSE),VLOOKUP($A227,'NonXtal_SegEnds_Prot#'!A:AL,10,FALSE)+6,1)</f>
        <v>S</v>
      </c>
      <c r="T227" s="90" t="str">
        <f>MID(VLOOKUP($A227,Seqs!$A:$B,2,FALSE),VLOOKUP($A227,'NonXtal_SegEnds_Prot#'!A:AL,10,FALSE)+7,1)</f>
        <v>L</v>
      </c>
      <c r="U227" s="90" t="str">
        <f>MID(VLOOKUP($A227,Seqs!$A:$B,2,FALSE),VLOOKUP($A227,'NonXtal_SegEnds_Prot#'!A:AL,10,FALSE)+8,1)</f>
        <v>P</v>
      </c>
      <c r="V227" s="90" t="str">
        <f>MID(VLOOKUP($A227,Seqs!$A:$B,2,FALSE),VLOOKUP($A227,'NonXtal_SegEnds_Prot#'!A:AL,10,FALSE)+9,1)</f>
        <v>L</v>
      </c>
      <c r="W227" s="64" t="str">
        <f>MID(VLOOKUP($A227,Seqs!$A:$B,2,FALSE),VLOOKUP($A227,'NonXtal_SegEnds_Prot#'!$A:$AL,22,FALSE)+6,1)</f>
        <v>C</v>
      </c>
      <c r="X227" s="90" t="str">
        <f>MID(VLOOKUP($A227,Seqs!$A:$B,2,FALSE),VLOOKUP($A227,'NonXtal_SegEnds_Prot#'!$A:$AL,22,FALSE)+7,1)</f>
        <v>Q</v>
      </c>
      <c r="Y227" s="90" t="str">
        <f>MID(VLOOKUP($A227,Seqs!$A:$B,2,FALSE),VLOOKUP($A227,'NonXtal_SegEnds_Prot#'!$A:$AL,22,FALSE)+8,1)</f>
        <v>A</v>
      </c>
      <c r="Z227" s="90" t="str">
        <f>MID(VLOOKUP($A227,Seqs!$A:$B,2,FALSE),VLOOKUP($A227,'NonXtal_SegEnds_Prot#'!$A:$AL,22,FALSE)+9,1)</f>
        <v>P</v>
      </c>
      <c r="AA227" s="90" t="str">
        <f>MID(VLOOKUP($A227,Seqs!$A:$B,2,FALSE),VLOOKUP($A227,'NonXtal_SegEnds_Prot#'!$A:$AL,22,FALSE)+10,1)</f>
        <v>V</v>
      </c>
      <c r="AB227" s="64" t="str">
        <f>MID(VLOOKUP($A227,Seqs!$A:$B,2,FALSE),VLOOKUP($A227,'NonXtal_SegEnds_Prot#'!$A:$AL,28,FALSE)-4,1)</f>
        <v>L</v>
      </c>
      <c r="AC227" s="90" t="str">
        <f>MID(VLOOKUP($A227,Seqs!$A:$B,2,FALSE),VLOOKUP($A227,'NonXtal_SegEnds_Prot#'!$A:$AL,28,FALSE),1)</f>
        <v>P</v>
      </c>
    </row>
    <row r="228" spans="1:29" s="2" customFormat="1" x14ac:dyDescent="0.2">
      <c r="A228" s="2" t="s">
        <v>321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64" t="str">
        <f>MID(VLOOKUP($A228,Seqs!$A:$B,2,FALSE),VLOOKUP($A228,'NonXtal_SegEnds_Prot#'!$A:$AL,10,FALSE),1)</f>
        <v>D</v>
      </c>
      <c r="S228" s="90" t="str">
        <f>MID(VLOOKUP($A228,Seqs!$A:$B,2,FALSE),VLOOKUP($A228,'NonXtal_SegEnds_Prot#'!$A:$AL,10,FALSE)+6,1)</f>
        <v>L</v>
      </c>
      <c r="T228" s="90" t="str">
        <f>MID(VLOOKUP($A228,Seqs!$A:$B,2,FALSE),VLOOKUP($A228,'NonXtal_SegEnds_Prot#'!$A:$AL,10,FALSE)+7,1)</f>
        <v>V</v>
      </c>
      <c r="U228" s="90" t="str">
        <f>MID(VLOOKUP($A228,Seqs!$A:$B,2,FALSE),VLOOKUP($A228,'NonXtal_SegEnds_Prot#'!$A:$AL,10,FALSE)+8,1)</f>
        <v>L</v>
      </c>
      <c r="V228" s="90" t="str">
        <f>MID(VLOOKUP($A228,Seqs!$A:$B,2,FALSE),VLOOKUP($A228,'NonXtal_SegEnds_Prot#'!$A:$AL,10,FALSE)+9,1)</f>
        <v>P</v>
      </c>
      <c r="W228" s="64" t="str">
        <f>MID(VLOOKUP($A228,Seqs!$A:$B,2,FALSE),VLOOKUP($A228,'NonXtal_SegEnds_Prot#'!$A:$AL,22,FALSE)+6,1)</f>
        <v>I</v>
      </c>
      <c r="X228" s="90" t="str">
        <f>MID(VLOOKUP($A228,Seqs!$A:$B,2,FALSE),VLOOKUP($A228,'NonXtal_SegEnds_Prot#'!$A:$AL,22,FALSE)+7,1)</f>
        <v>S</v>
      </c>
      <c r="Y228" s="90" t="str">
        <f>MID(VLOOKUP($A228,Seqs!$A:$B,2,FALSE),VLOOKUP($A228,'NonXtal_SegEnds_Prot#'!$A:$AL,22,FALSE)+8,1)</f>
        <v>I</v>
      </c>
      <c r="Z228" s="90" t="str">
        <f>MID(VLOOKUP($A228,Seqs!$A:$B,2,FALSE),VLOOKUP($A228,'NonXtal_SegEnds_Prot#'!$A:$AL,22,FALSE)+9,1)</f>
        <v>P</v>
      </c>
      <c r="AA228" s="90" t="str">
        <f>MID(VLOOKUP($A228,Seqs!$A:$B,2,FALSE),VLOOKUP($A228,'NonXtal_SegEnds_Prot#'!$A:$AL,22,FALSE)+10,1)</f>
        <v>P</v>
      </c>
      <c r="AB228" s="64" t="str">
        <f>MID(VLOOKUP($A228,Seqs!$A:$B,2,FALSE),VLOOKUP($A228,'NonXtal_SegEnds_Prot#'!$A:$AL,28,FALSE)-4,1)</f>
        <v>A</v>
      </c>
      <c r="AC228" s="90" t="str">
        <f>MID(VLOOKUP($A228,Seqs!$A:$B,2,FALSE),VLOOKUP($A228,'NonXtal_SegEnds_Prot#'!$A:$AL,28,FALSE),1)</f>
        <v>P</v>
      </c>
    </row>
    <row r="229" spans="1:29" s="2" customFormat="1" x14ac:dyDescent="0.2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64" t="str">
        <f>MID(VLOOKUP($A229,Seqs!$A:$B,2,FALSE),VLOOKUP($A229,'NonXtal_SegEnds_Prot#'!A:AL,10,FALSE),1)</f>
        <v>D</v>
      </c>
      <c r="S229" s="90" t="str">
        <f>MID(VLOOKUP($A229,Seqs!$A:$B,2,FALSE),VLOOKUP($A229,'NonXtal_SegEnds_Prot#'!A:AL,10,FALSE)+6,1)</f>
        <v>L</v>
      </c>
      <c r="T229" s="90" t="str">
        <f>MID(VLOOKUP($A229,Seqs!$A:$B,2,FALSE),VLOOKUP($A229,'NonXtal_SegEnds_Prot#'!A:AL,10,FALSE)+7,1)</f>
        <v>V</v>
      </c>
      <c r="U229" s="90" t="str">
        <f>MID(VLOOKUP($A229,Seqs!$A:$B,2,FALSE),VLOOKUP($A229,'NonXtal_SegEnds_Prot#'!A:AL,10,FALSE)+8,1)</f>
        <v>M</v>
      </c>
      <c r="V229" s="90" t="str">
        <f>MID(VLOOKUP($A229,Seqs!$A:$B,2,FALSE),VLOOKUP($A229,'NonXtal_SegEnds_Prot#'!A:AL,10,FALSE)+9,1)</f>
        <v>P</v>
      </c>
      <c r="W229" s="64" t="str">
        <f>MID(VLOOKUP($A229,Seqs!$A:$B,2,FALSE),VLOOKUP($A229,'NonXtal_SegEnds_Prot#'!$A:$AL,22,FALSE)+6,1)</f>
        <v>I</v>
      </c>
      <c r="X229" s="90" t="str">
        <f>MID(VLOOKUP($A229,Seqs!$A:$B,2,FALSE),VLOOKUP($A229,'NonXtal_SegEnds_Prot#'!$A:$AL,22,FALSE)+7,1)</f>
        <v>S</v>
      </c>
      <c r="Y229" s="90" t="str">
        <f>MID(VLOOKUP($A229,Seqs!$A:$B,2,FALSE),VLOOKUP($A229,'NonXtal_SegEnds_Prot#'!$A:$AL,22,FALSE)+8,1)</f>
        <v>L</v>
      </c>
      <c r="Z229" s="90" t="str">
        <f>MID(VLOOKUP($A229,Seqs!$A:$B,2,FALSE),VLOOKUP($A229,'NonXtal_SegEnds_Prot#'!$A:$AL,22,FALSE)+9,1)</f>
        <v>P</v>
      </c>
      <c r="AA229" s="90" t="str">
        <f>MID(VLOOKUP($A229,Seqs!$A:$B,2,FALSE),VLOOKUP($A229,'NonXtal_SegEnds_Prot#'!$A:$AL,22,FALSE)+10,1)</f>
        <v>P</v>
      </c>
      <c r="AB229" s="64" t="str">
        <f>MID(VLOOKUP($A229,Seqs!$A:$B,2,FALSE),VLOOKUP($A229,'NonXtal_SegEnds_Prot#'!$A:$AL,28,FALSE)-4,1)</f>
        <v>A</v>
      </c>
      <c r="AC229" s="90" t="str">
        <f>MID(VLOOKUP($A229,Seqs!$A:$B,2,FALSE),VLOOKUP($A229,'NonXtal_SegEnds_Prot#'!$A:$AL,28,FALSE),1)</f>
        <v>P</v>
      </c>
    </row>
    <row r="230" spans="1:29" s="2" customFormat="1" x14ac:dyDescent="0.2">
      <c r="A230" s="2" t="s">
        <v>322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64" t="str">
        <f>MID(VLOOKUP($A230,Seqs!$A:$B,2,FALSE),VLOOKUP($A230,'NonXtal_SegEnds_Prot#'!A:AL,10,FALSE),1)</f>
        <v>D</v>
      </c>
      <c r="S230" s="90" t="str">
        <f>MID(VLOOKUP($A230,Seqs!$A:$B,2,FALSE),VLOOKUP($A230,'NonXtal_SegEnds_Prot#'!A:AL,10,FALSE)+6,1)</f>
        <v>L</v>
      </c>
      <c r="T230" s="90" t="str">
        <f>MID(VLOOKUP($A230,Seqs!$A:$B,2,FALSE),VLOOKUP($A230,'NonXtal_SegEnds_Prot#'!A:AL,10,FALSE)+7,1)</f>
        <v>V</v>
      </c>
      <c r="U230" s="90" t="str">
        <f>MID(VLOOKUP($A230,Seqs!$A:$B,2,FALSE),VLOOKUP($A230,'NonXtal_SegEnds_Prot#'!A:AL,10,FALSE)+8,1)</f>
        <v>M</v>
      </c>
      <c r="V230" s="90" t="str">
        <f>MID(VLOOKUP($A230,Seqs!$A:$B,2,FALSE),VLOOKUP($A230,'NonXtal_SegEnds_Prot#'!A:AL,10,FALSE)+9,1)</f>
        <v>P</v>
      </c>
      <c r="W230" s="64" t="str">
        <f>MID(VLOOKUP($A230,Seqs!$A:$B,2,FALSE),VLOOKUP($A230,'NonXtal_SegEnds_Prot#'!$A:$AL,22,FALSE)+6,1)</f>
        <v>I</v>
      </c>
      <c r="X230" s="90" t="str">
        <f>MID(VLOOKUP($A230,Seqs!$A:$B,2,FALSE),VLOOKUP($A230,'NonXtal_SegEnds_Prot#'!$A:$AL,22,FALSE)+7,1)</f>
        <v>S</v>
      </c>
      <c r="Y230" s="90" t="str">
        <f>MID(VLOOKUP($A230,Seqs!$A:$B,2,FALSE),VLOOKUP($A230,'NonXtal_SegEnds_Prot#'!$A:$AL,22,FALSE)+8,1)</f>
        <v>I</v>
      </c>
      <c r="Z230" s="90" t="str">
        <f>MID(VLOOKUP($A230,Seqs!$A:$B,2,FALSE),VLOOKUP($A230,'NonXtal_SegEnds_Prot#'!$A:$AL,22,FALSE)+9,1)</f>
        <v>P</v>
      </c>
      <c r="AA230" s="90" t="str">
        <f>MID(VLOOKUP($A230,Seqs!$A:$B,2,FALSE),VLOOKUP($A230,'NonXtal_SegEnds_Prot#'!$A:$AL,22,FALSE)+10,1)</f>
        <v>P</v>
      </c>
      <c r="AB230" s="64" t="str">
        <f>MID(VLOOKUP($A230,Seqs!$A:$B,2,FALSE),VLOOKUP($A230,'NonXtal_SegEnds_Prot#'!$A:$AL,28,FALSE)-4,1)</f>
        <v>A</v>
      </c>
      <c r="AC230" s="90" t="str">
        <f>MID(VLOOKUP($A230,Seqs!$A:$B,2,FALSE),VLOOKUP($A230,'NonXtal_SegEnds_Prot#'!$A:$AL,28,FALSE),1)</f>
        <v>P</v>
      </c>
    </row>
    <row r="231" spans="1:29" s="2" customFormat="1" x14ac:dyDescent="0.2">
      <c r="A231" s="2" t="s">
        <v>323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64" t="str">
        <f>MID(VLOOKUP($A231,Seqs!$A:$B,2,FALSE),VLOOKUP($A231,'NonXtal_SegEnds_Prot#'!A:AL,10,FALSE),1)</f>
        <v>D</v>
      </c>
      <c r="S231" s="90" t="str">
        <f>MID(VLOOKUP($A231,Seqs!$A:$B,2,FALSE),VLOOKUP($A231,'NonXtal_SegEnds_Prot#'!A:AL,10,FALSE)+6,1)</f>
        <v>L</v>
      </c>
      <c r="T231" s="90" t="str">
        <f>MID(VLOOKUP($A231,Seqs!$A:$B,2,FALSE),VLOOKUP($A231,'NonXtal_SegEnds_Prot#'!A:AL,10,FALSE)+7,1)</f>
        <v>V</v>
      </c>
      <c r="U231" s="90" t="str">
        <f>MID(VLOOKUP($A231,Seqs!$A:$B,2,FALSE),VLOOKUP($A231,'NonXtal_SegEnds_Prot#'!A:AL,10,FALSE)+8,1)</f>
        <v>M</v>
      </c>
      <c r="V231" s="90" t="str">
        <f>MID(VLOOKUP($A231,Seqs!$A:$B,2,FALSE),VLOOKUP($A231,'NonXtal_SegEnds_Prot#'!A:AL,10,FALSE)+9,1)</f>
        <v>P</v>
      </c>
      <c r="W231" s="64" t="str">
        <f>MID(VLOOKUP($A231,Seqs!$A:$B,2,FALSE),VLOOKUP($A231,'NonXtal_SegEnds_Prot#'!$A:$AL,22,FALSE)+6,1)</f>
        <v>I</v>
      </c>
      <c r="X231" s="90" t="str">
        <f>MID(VLOOKUP($A231,Seqs!$A:$B,2,FALSE),VLOOKUP($A231,'NonXtal_SegEnds_Prot#'!$A:$AL,22,FALSE)+7,1)</f>
        <v>S</v>
      </c>
      <c r="Y231" s="90" t="str">
        <f>MID(VLOOKUP($A231,Seqs!$A:$B,2,FALSE),VLOOKUP($A231,'NonXtal_SegEnds_Prot#'!$A:$AL,22,FALSE)+8,1)</f>
        <v>M</v>
      </c>
      <c r="Z231" s="90" t="str">
        <f>MID(VLOOKUP($A231,Seqs!$A:$B,2,FALSE),VLOOKUP($A231,'NonXtal_SegEnds_Prot#'!$A:$AL,22,FALSE)+9,1)</f>
        <v>P</v>
      </c>
      <c r="AA231" s="90" t="str">
        <f>MID(VLOOKUP($A231,Seqs!$A:$B,2,FALSE),VLOOKUP($A231,'NonXtal_SegEnds_Prot#'!$A:$AL,22,FALSE)+10,1)</f>
        <v>P</v>
      </c>
      <c r="AB231" s="64" t="str">
        <f>MID(VLOOKUP($A231,Seqs!$A:$B,2,FALSE),VLOOKUP($A231,'NonXtal_SegEnds_Prot#'!$A:$AL,28,FALSE)-4,1)</f>
        <v>A</v>
      </c>
      <c r="AC231" s="90" t="str">
        <f>MID(VLOOKUP($A231,Seqs!$A:$B,2,FALSE),VLOOKUP($A231,'NonXtal_SegEnds_Prot#'!$A:$AL,28,FALSE),1)</f>
        <v>P</v>
      </c>
    </row>
    <row r="232" spans="1:29" s="78" customFormat="1" x14ac:dyDescent="0.2">
      <c r="A232" s="2" t="s">
        <v>324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64" t="str">
        <f>MID(VLOOKUP($A232,Seqs!$A:$B,2,FALSE),VLOOKUP($A232,'NonXtal_SegEnds_Prot#'!A:AL,10,FALSE),1)</f>
        <v>D</v>
      </c>
      <c r="S232" s="90" t="str">
        <f>MID(VLOOKUP($A232,Seqs!$A:$B,2,FALSE),VLOOKUP($A232,'NonXtal_SegEnds_Prot#'!A:AL,10,FALSE)+6,1)</f>
        <v>L</v>
      </c>
      <c r="T232" s="90" t="str">
        <f>MID(VLOOKUP($A232,Seqs!$A:$B,2,FALSE),VLOOKUP($A232,'NonXtal_SegEnds_Prot#'!A:AL,10,FALSE)+7,1)</f>
        <v>V</v>
      </c>
      <c r="U232" s="90" t="str">
        <f>MID(VLOOKUP($A232,Seqs!$A:$B,2,FALSE),VLOOKUP($A232,'NonXtal_SegEnds_Prot#'!A:AL,10,FALSE)+8,1)</f>
        <v>M</v>
      </c>
      <c r="V232" s="90" t="str">
        <f>MID(VLOOKUP($A232,Seqs!$A:$B,2,FALSE),VLOOKUP($A232,'NonXtal_SegEnds_Prot#'!A:AL,10,FALSE)+9,1)</f>
        <v>P</v>
      </c>
      <c r="W232" s="64" t="str">
        <f>MID(VLOOKUP($A232,Seqs!$A:$B,2,FALSE),VLOOKUP($A232,'NonXtal_SegEnds_Prot#'!$A:$AL,22,FALSE)+6,1)</f>
        <v>I</v>
      </c>
      <c r="X232" s="90" t="str">
        <f>MID(VLOOKUP($A232,Seqs!$A:$B,2,FALSE),VLOOKUP($A232,'NonXtal_SegEnds_Prot#'!$A:$AL,22,FALSE)+7,1)</f>
        <v>S</v>
      </c>
      <c r="Y232" s="90" t="str">
        <f>MID(VLOOKUP($A232,Seqs!$A:$B,2,FALSE),VLOOKUP($A232,'NonXtal_SegEnds_Prot#'!$A:$AL,22,FALSE)+8,1)</f>
        <v>M</v>
      </c>
      <c r="Z232" s="90" t="str">
        <f>MID(VLOOKUP($A232,Seqs!$A:$B,2,FALSE),VLOOKUP($A232,'NonXtal_SegEnds_Prot#'!$A:$AL,22,FALSE)+9,1)</f>
        <v>P</v>
      </c>
      <c r="AA232" s="90" t="str">
        <f>MID(VLOOKUP($A232,Seqs!$A:$B,2,FALSE),VLOOKUP($A232,'NonXtal_SegEnds_Prot#'!$A:$AL,22,FALSE)+10,1)</f>
        <v>P</v>
      </c>
      <c r="AB232" s="64" t="str">
        <f>MID(VLOOKUP($A232,Seqs!$A:$B,2,FALSE),VLOOKUP($A232,'NonXtal_SegEnds_Prot#'!$A:$AL,28,FALSE)-4,1)</f>
        <v>A</v>
      </c>
      <c r="AC232" s="90" t="str">
        <f>MID(VLOOKUP($A232,Seqs!$A:$B,2,FALSE),VLOOKUP($A232,'NonXtal_SegEnds_Prot#'!$A:$AL,28,FALSE),1)</f>
        <v>P</v>
      </c>
    </row>
    <row r="233" spans="1:29" s="2" customFormat="1" x14ac:dyDescent="0.2">
      <c r="A233" s="2" t="s">
        <v>327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64" t="str">
        <f>MID(VLOOKUP($A233,Seqs!$A:$B,2,FALSE),VLOOKUP($A233,'NonXtal_SegEnds_Prot#'!A:AL,10,FALSE),1)</f>
        <v>D</v>
      </c>
      <c r="S233" s="90" t="str">
        <f>MID(VLOOKUP($A233,Seqs!$A:$B,2,FALSE),VLOOKUP($A233,'NonXtal_SegEnds_Prot#'!A:AL,10,FALSE)+6,1)</f>
        <v>L</v>
      </c>
      <c r="T233" s="90" t="str">
        <f>MID(VLOOKUP($A233,Seqs!$A:$B,2,FALSE),VLOOKUP($A233,'NonXtal_SegEnds_Prot#'!A:AL,10,FALSE)+7,1)</f>
        <v>V</v>
      </c>
      <c r="U233" s="90" t="str">
        <f>MID(VLOOKUP($A233,Seqs!$A:$B,2,FALSE),VLOOKUP($A233,'NonXtal_SegEnds_Prot#'!A:AL,10,FALSE)+8,1)</f>
        <v>M</v>
      </c>
      <c r="V233" s="90" t="str">
        <f>MID(VLOOKUP($A233,Seqs!$A:$B,2,FALSE),VLOOKUP($A233,'NonXtal_SegEnds_Prot#'!A:AL,10,FALSE)+9,1)</f>
        <v>P</v>
      </c>
      <c r="W233" s="64" t="str">
        <f>MID(VLOOKUP($A233,Seqs!$A:$B,2,FALSE),VLOOKUP($A233,'NonXtal_SegEnds_Prot#'!$A:$AL,22,FALSE)+6,1)</f>
        <v>I</v>
      </c>
      <c r="X233" s="90" t="str">
        <f>MID(VLOOKUP($A233,Seqs!$A:$B,2,FALSE),VLOOKUP($A233,'NonXtal_SegEnds_Prot#'!$A:$AL,22,FALSE)+7,1)</f>
        <v>S</v>
      </c>
      <c r="Y233" s="90" t="str">
        <f>MID(VLOOKUP($A233,Seqs!$A:$B,2,FALSE),VLOOKUP($A233,'NonXtal_SegEnds_Prot#'!$A:$AL,22,FALSE)+8,1)</f>
        <v>F</v>
      </c>
      <c r="Z233" s="90" t="str">
        <f>MID(VLOOKUP($A233,Seqs!$A:$B,2,FALSE),VLOOKUP($A233,'NonXtal_SegEnds_Prot#'!$A:$AL,22,FALSE)+9,1)</f>
        <v>L</v>
      </c>
      <c r="AA233" s="90" t="str">
        <f>MID(VLOOKUP($A233,Seqs!$A:$B,2,FALSE),VLOOKUP($A233,'NonXtal_SegEnds_Prot#'!$A:$AL,22,FALSE)+10,1)</f>
        <v>P</v>
      </c>
      <c r="AB233" s="64" t="str">
        <f>MID(VLOOKUP($A233,Seqs!$A:$B,2,FALSE),VLOOKUP($A233,'NonXtal_SegEnds_Prot#'!$A:$AL,28,FALSE)-4,1)</f>
        <v>A</v>
      </c>
      <c r="AC233" s="90" t="str">
        <f>MID(VLOOKUP($A233,Seqs!$A:$B,2,FALSE),VLOOKUP($A233,'NonXtal_SegEnds_Prot#'!$A:$AL,28,FALSE),1)</f>
        <v>P</v>
      </c>
    </row>
    <row r="234" spans="1:29" s="2" customFormat="1" x14ac:dyDescent="0.2">
      <c r="A234" s="2" t="s">
        <v>328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64" t="str">
        <f>MID(VLOOKUP($A234,Seqs!$A:$B,2,FALSE),VLOOKUP($A234,'NonXtal_SegEnds_Prot#'!A:AL,10,FALSE),1)</f>
        <v>D</v>
      </c>
      <c r="S234" s="90" t="str">
        <f>MID(VLOOKUP($A234,Seqs!$A:$B,2,FALSE),VLOOKUP($A234,'NonXtal_SegEnds_Prot#'!A:AL,10,FALSE)+6,1)</f>
        <v>L</v>
      </c>
      <c r="T234" s="90" t="str">
        <f>MID(VLOOKUP($A234,Seqs!$A:$B,2,FALSE),VLOOKUP($A234,'NonXtal_SegEnds_Prot#'!A:AL,10,FALSE)+7,1)</f>
        <v>V</v>
      </c>
      <c r="U234" s="90" t="str">
        <f>MID(VLOOKUP($A234,Seqs!$A:$B,2,FALSE),VLOOKUP($A234,'NonXtal_SegEnds_Prot#'!A:AL,10,FALSE)+8,1)</f>
        <v>M</v>
      </c>
      <c r="V234" s="90" t="str">
        <f>MID(VLOOKUP($A234,Seqs!$A:$B,2,FALSE),VLOOKUP($A234,'NonXtal_SegEnds_Prot#'!A:AL,10,FALSE)+9,1)</f>
        <v>P</v>
      </c>
      <c r="W234" s="64" t="str">
        <f>MID(VLOOKUP($A234,Seqs!$A:$B,2,FALSE),VLOOKUP($A234,'NonXtal_SegEnds_Prot#'!$A:$AL,22,FALSE)+6,1)</f>
        <v>I</v>
      </c>
      <c r="X234" s="90" t="str">
        <f>MID(VLOOKUP($A234,Seqs!$A:$B,2,FALSE),VLOOKUP($A234,'NonXtal_SegEnds_Prot#'!$A:$AL,22,FALSE)+7,1)</f>
        <v>S</v>
      </c>
      <c r="Y234" s="90" t="str">
        <f>MID(VLOOKUP($A234,Seqs!$A:$B,2,FALSE),VLOOKUP($A234,'NonXtal_SegEnds_Prot#'!$A:$AL,22,FALSE)+8,1)</f>
        <v>L</v>
      </c>
      <c r="Z234" s="90" t="str">
        <f>MID(VLOOKUP($A234,Seqs!$A:$B,2,FALSE),VLOOKUP($A234,'NonXtal_SegEnds_Prot#'!$A:$AL,22,FALSE)+9,1)</f>
        <v>A</v>
      </c>
      <c r="AA234" s="90" t="str">
        <f>MID(VLOOKUP($A234,Seqs!$A:$B,2,FALSE),VLOOKUP($A234,'NonXtal_SegEnds_Prot#'!$A:$AL,22,FALSE)+10,1)</f>
        <v>P</v>
      </c>
      <c r="AB234" s="64" t="str">
        <f>MID(VLOOKUP($A234,Seqs!$A:$B,2,FALSE),VLOOKUP($A234,'NonXtal_SegEnds_Prot#'!$A:$AL,28,FALSE)-4,1)</f>
        <v>A</v>
      </c>
      <c r="AC234" s="90" t="str">
        <f>MID(VLOOKUP($A234,Seqs!$A:$B,2,FALSE),VLOOKUP($A234,'NonXtal_SegEnds_Prot#'!$A:$AL,28,FALSE),1)</f>
        <v>P</v>
      </c>
    </row>
    <row r="235" spans="1:29" s="2" customFormat="1" x14ac:dyDescent="0.2">
      <c r="A235" s="2" t="s">
        <v>329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64" t="str">
        <f>MID(VLOOKUP($A235,Seqs!$A:$B,2,FALSE),VLOOKUP($A235,'NonXtal_SegEnds_Prot#'!A:AL,10,FALSE),1)</f>
        <v>D</v>
      </c>
      <c r="S235" s="90" t="str">
        <f>MID(VLOOKUP($A235,Seqs!$A:$B,2,FALSE),VLOOKUP($A235,'NonXtal_SegEnds_Prot#'!A:AL,10,FALSE)+6,1)</f>
        <v>V</v>
      </c>
      <c r="T235" s="90" t="str">
        <f>MID(VLOOKUP($A235,Seqs!$A:$B,2,FALSE),VLOOKUP($A235,'NonXtal_SegEnds_Prot#'!A:AL,10,FALSE)+7,1)</f>
        <v>V</v>
      </c>
      <c r="U235" s="90" t="str">
        <f>MID(VLOOKUP($A235,Seqs!$A:$B,2,FALSE),VLOOKUP($A235,'NonXtal_SegEnds_Prot#'!A:AL,10,FALSE)+8,1)</f>
        <v>M</v>
      </c>
      <c r="V235" s="90" t="str">
        <f>MID(VLOOKUP($A235,Seqs!$A:$B,2,FALSE),VLOOKUP($A235,'NonXtal_SegEnds_Prot#'!A:AL,10,FALSE)+9,1)</f>
        <v>P</v>
      </c>
      <c r="W235" s="64" t="str">
        <f>MID(VLOOKUP($A235,Seqs!$A:$B,2,FALSE),VLOOKUP($A235,'NonXtal_SegEnds_Prot#'!$A:$AL,22,FALSE)+6,1)</f>
        <v>A</v>
      </c>
      <c r="X235" s="90" t="str">
        <f>MID(VLOOKUP($A235,Seqs!$A:$B,2,FALSE),VLOOKUP($A235,'NonXtal_SegEnds_Prot#'!$A:$AL,22,FALSE)+7,1)</f>
        <v>S</v>
      </c>
      <c r="Y235" s="90" t="str">
        <f>MID(VLOOKUP($A235,Seqs!$A:$B,2,FALSE),VLOOKUP($A235,'NonXtal_SegEnds_Prot#'!$A:$AL,22,FALSE)+8,1)</f>
        <v>F</v>
      </c>
      <c r="Z235" s="90" t="str">
        <f>MID(VLOOKUP($A235,Seqs!$A:$B,2,FALSE),VLOOKUP($A235,'NonXtal_SegEnds_Prot#'!$A:$AL,22,FALSE)+9,1)</f>
        <v>L</v>
      </c>
      <c r="AA235" s="90" t="str">
        <f>MID(VLOOKUP($A235,Seqs!$A:$B,2,FALSE),VLOOKUP($A235,'NonXtal_SegEnds_Prot#'!$A:$AL,22,FALSE)+10,1)</f>
        <v>P</v>
      </c>
      <c r="AB235" s="64" t="str">
        <f>MID(VLOOKUP($A235,Seqs!$A:$B,2,FALSE),VLOOKUP($A235,'NonXtal_SegEnds_Prot#'!$A:$AL,28,FALSE)-4,1)</f>
        <v>T</v>
      </c>
      <c r="AC235" s="90" t="str">
        <f>MID(VLOOKUP($A235,Seqs!$A:$B,2,FALSE),VLOOKUP($A235,'NonXtal_SegEnds_Prot#'!$A:$AL,28,FALSE),1)</f>
        <v>P</v>
      </c>
    </row>
    <row r="236" spans="1:29" s="2" customFormat="1" x14ac:dyDescent="0.2">
      <c r="A236" s="2" t="s">
        <v>345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64" t="str">
        <f>MID(VLOOKUP($A236,Seqs!$A:$B,2,FALSE),VLOOKUP($A236,'NonXtal_SegEnds_Prot#'!A:AL,10,FALSE),1)</f>
        <v>D</v>
      </c>
      <c r="S236" s="90" t="str">
        <f>MID(VLOOKUP($A236,Seqs!$A:$B,2,FALSE),VLOOKUP($A236,'NonXtal_SegEnds_Prot#'!A:AL,10,FALSE)+6,1)</f>
        <v>T</v>
      </c>
      <c r="T236" s="90" t="str">
        <f>MID(VLOOKUP($A236,Seqs!$A:$B,2,FALSE),VLOOKUP($A236,'NonXtal_SegEnds_Prot#'!A:AL,10,FALSE)+7,1)</f>
        <v>V</v>
      </c>
      <c r="U236" s="90" t="str">
        <f>MID(VLOOKUP($A236,Seqs!$A:$B,2,FALSE),VLOOKUP($A236,'NonXtal_SegEnds_Prot#'!A:AL,10,FALSE)+8,1)</f>
        <v>L</v>
      </c>
      <c r="V236" s="90" t="str">
        <f>MID(VLOOKUP($A236,Seqs!$A:$B,2,FALSE),VLOOKUP($A236,'NonXtal_SegEnds_Prot#'!A:AL,10,FALSE)+9,1)</f>
        <v>P</v>
      </c>
      <c r="W236" s="64" t="str">
        <f>MID(VLOOKUP($A236,Seqs!$A:$B,2,FALSE),VLOOKUP($A236,'NonXtal_SegEnds_Prot#'!$A:$AL,22,FALSE)+6,1)</f>
        <v>I</v>
      </c>
      <c r="X236" s="90" t="str">
        <f>MID(VLOOKUP($A236,Seqs!$A:$B,2,FALSE),VLOOKUP($A236,'NonXtal_SegEnds_Prot#'!$A:$AL,22,FALSE)+7,1)</f>
        <v>S</v>
      </c>
      <c r="Y236" s="90" t="str">
        <f>MID(VLOOKUP($A236,Seqs!$A:$B,2,FALSE),VLOOKUP($A236,'NonXtal_SegEnds_Prot#'!$A:$AL,22,FALSE)+8,1)</f>
        <v>I</v>
      </c>
      <c r="Z236" s="90" t="str">
        <f>MID(VLOOKUP($A236,Seqs!$A:$B,2,FALSE),VLOOKUP($A236,'NonXtal_SegEnds_Prot#'!$A:$AL,22,FALSE)+9,1)</f>
        <v>G</v>
      </c>
      <c r="AA236" s="90" t="str">
        <f>MID(VLOOKUP($A236,Seqs!$A:$B,2,FALSE),VLOOKUP($A236,'NonXtal_SegEnds_Prot#'!$A:$AL,22,FALSE)+10,1)</f>
        <v>P</v>
      </c>
      <c r="AB236" s="64" t="str">
        <f>MID(VLOOKUP($A236,Seqs!$A:$B,2,FALSE),VLOOKUP($A236,'NonXtal_SegEnds_Prot#'!$A:$AL,28,FALSE)-4,1)</f>
        <v>S</v>
      </c>
      <c r="AC236" s="90" t="str">
        <f>MID(VLOOKUP($A236,Seqs!$A:$B,2,FALSE),VLOOKUP($A236,'NonXtal_SegEnds_Prot#'!$A:$AL,28,FALSE),1)</f>
        <v>P</v>
      </c>
    </row>
    <row r="237" spans="1:29" s="2" customFormat="1" x14ac:dyDescent="0.2">
      <c r="A237" s="2" t="s">
        <v>346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64" t="str">
        <f>MID(VLOOKUP($A237,Seqs!$A:$B,2,FALSE),VLOOKUP($A237,'NonXtal_SegEnds_Prot#'!A:AL,10,FALSE),1)</f>
        <v>D</v>
      </c>
      <c r="S237" s="90" t="str">
        <f>MID(VLOOKUP($A237,Seqs!$A:$B,2,FALSE),VLOOKUP($A237,'NonXtal_SegEnds_Prot#'!A:AL,10,FALSE)+6,1)</f>
        <v>T</v>
      </c>
      <c r="T237" s="90" t="str">
        <f>MID(VLOOKUP($A237,Seqs!$A:$B,2,FALSE),VLOOKUP($A237,'NonXtal_SegEnds_Prot#'!A:AL,10,FALSE)+7,1)</f>
        <v>V</v>
      </c>
      <c r="U237" s="90" t="str">
        <f>MID(VLOOKUP($A237,Seqs!$A:$B,2,FALSE),VLOOKUP($A237,'NonXtal_SegEnds_Prot#'!A:AL,10,FALSE)+8,1)</f>
        <v>L</v>
      </c>
      <c r="V237" s="90" t="str">
        <f>MID(VLOOKUP($A237,Seqs!$A:$B,2,FALSE),VLOOKUP($A237,'NonXtal_SegEnds_Prot#'!A:AL,10,FALSE)+9,1)</f>
        <v>P</v>
      </c>
      <c r="W237" s="64" t="str">
        <f>MID(VLOOKUP($A237,Seqs!$A:$B,2,FALSE),VLOOKUP($A237,'NonXtal_SegEnds_Prot#'!$A:$AL,22,FALSE)+6,1)</f>
        <v>I</v>
      </c>
      <c r="X237" s="90" t="str">
        <f>MID(VLOOKUP($A237,Seqs!$A:$B,2,FALSE),VLOOKUP($A237,'NonXtal_SegEnds_Prot#'!$A:$AL,22,FALSE)+7,1)</f>
        <v>S</v>
      </c>
      <c r="Y237" s="90" t="str">
        <f>MID(VLOOKUP($A237,Seqs!$A:$B,2,FALSE),VLOOKUP($A237,'NonXtal_SegEnds_Prot#'!$A:$AL,22,FALSE)+8,1)</f>
        <v>I</v>
      </c>
      <c r="Z237" s="90" t="str">
        <f>MID(VLOOKUP($A237,Seqs!$A:$B,2,FALSE),VLOOKUP($A237,'NonXtal_SegEnds_Prot#'!$A:$AL,22,FALSE)+9,1)</f>
        <v>G</v>
      </c>
      <c r="AA237" s="90" t="str">
        <f>MID(VLOOKUP($A237,Seqs!$A:$B,2,FALSE),VLOOKUP($A237,'NonXtal_SegEnds_Prot#'!$A:$AL,22,FALSE)+10,1)</f>
        <v>P</v>
      </c>
      <c r="AB237" s="64" t="str">
        <f>MID(VLOOKUP($A237,Seqs!$A:$B,2,FALSE),VLOOKUP($A237,'NonXtal_SegEnds_Prot#'!$A:$AL,28,FALSE)-4,1)</f>
        <v>S</v>
      </c>
      <c r="AC237" s="90" t="str">
        <f>MID(VLOOKUP($A237,Seqs!$A:$B,2,FALSE),VLOOKUP($A237,'NonXtal_SegEnds_Prot#'!$A:$AL,28,FALSE),1)</f>
        <v>P</v>
      </c>
    </row>
    <row r="238" spans="1:29" s="2" customFormat="1" x14ac:dyDescent="0.2">
      <c r="A238" s="2" t="s">
        <v>347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64" t="str">
        <f>MID(VLOOKUP($A238,Seqs!$A:$B,2,FALSE),VLOOKUP($A238,'NonXtal_SegEnds_Prot#'!A:AL,10,FALSE),1)</f>
        <v>D</v>
      </c>
      <c r="S238" s="90" t="str">
        <f>MID(VLOOKUP($A238,Seqs!$A:$B,2,FALSE),VLOOKUP($A238,'NonXtal_SegEnds_Prot#'!A:AL,10,FALSE)+6,1)</f>
        <v>T</v>
      </c>
      <c r="T238" s="90" t="str">
        <f>MID(VLOOKUP($A238,Seqs!$A:$B,2,FALSE),VLOOKUP($A238,'NonXtal_SegEnds_Prot#'!A:AL,10,FALSE)+7,1)</f>
        <v>V</v>
      </c>
      <c r="U238" s="90" t="str">
        <f>MID(VLOOKUP($A238,Seqs!$A:$B,2,FALSE),VLOOKUP($A238,'NonXtal_SegEnds_Prot#'!A:AL,10,FALSE)+8,1)</f>
        <v>L</v>
      </c>
      <c r="V238" s="90" t="str">
        <f>MID(VLOOKUP($A238,Seqs!$A:$B,2,FALSE),VLOOKUP($A238,'NonXtal_SegEnds_Prot#'!A:AL,10,FALSE)+9,1)</f>
        <v>P</v>
      </c>
      <c r="W238" s="64" t="str">
        <f>MID(VLOOKUP($A238,Seqs!$A:$B,2,FALSE),VLOOKUP($A238,'NonXtal_SegEnds_Prot#'!$A:$AL,22,FALSE)+6,1)</f>
        <v>V</v>
      </c>
      <c r="X238" s="90" t="str">
        <f>MID(VLOOKUP($A238,Seqs!$A:$B,2,FALSE),VLOOKUP($A238,'NonXtal_SegEnds_Prot#'!$A:$AL,22,FALSE)+7,1)</f>
        <v>S</v>
      </c>
      <c r="Y238" s="90" t="str">
        <f>MID(VLOOKUP($A238,Seqs!$A:$B,2,FALSE),VLOOKUP($A238,'NonXtal_SegEnds_Prot#'!$A:$AL,22,FALSE)+8,1)</f>
        <v>V</v>
      </c>
      <c r="Z238" s="90" t="str">
        <f>MID(VLOOKUP($A238,Seqs!$A:$B,2,FALSE),VLOOKUP($A238,'NonXtal_SegEnds_Prot#'!$A:$AL,22,FALSE)+9,1)</f>
        <v>G</v>
      </c>
      <c r="AA238" s="90" t="str">
        <f>MID(VLOOKUP($A238,Seqs!$A:$B,2,FALSE),VLOOKUP($A238,'NonXtal_SegEnds_Prot#'!$A:$AL,22,FALSE)+10,1)</f>
        <v>P</v>
      </c>
      <c r="AB238" s="64" t="str">
        <f>MID(VLOOKUP($A238,Seqs!$A:$B,2,FALSE),VLOOKUP($A238,'NonXtal_SegEnds_Prot#'!$A:$AL,28,FALSE)-4,1)</f>
        <v>S</v>
      </c>
      <c r="AC238" s="90" t="str">
        <f>MID(VLOOKUP($A238,Seqs!$A:$B,2,FALSE),VLOOKUP($A238,'NonXtal_SegEnds_Prot#'!$A:$AL,28,FALSE),1)</f>
        <v>P</v>
      </c>
    </row>
    <row r="239" spans="1:29" s="2" customFormat="1" x14ac:dyDescent="0.2">
      <c r="A239" s="2" t="s">
        <v>348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64" t="str">
        <f>MID(VLOOKUP($A239,Seqs!$A:$B,2,FALSE),VLOOKUP($A239,'NonXtal_SegEnds_Prot#'!A:AL,10,FALSE),1)</f>
        <v>D</v>
      </c>
      <c r="S239" s="90" t="str">
        <f>MID(VLOOKUP($A239,Seqs!$A:$B,2,FALSE),VLOOKUP($A239,'NonXtal_SegEnds_Prot#'!A:AL,10,FALSE)+6,1)</f>
        <v>L</v>
      </c>
      <c r="T239" s="90" t="str">
        <f>MID(VLOOKUP($A239,Seqs!$A:$B,2,FALSE),VLOOKUP($A239,'NonXtal_SegEnds_Prot#'!A:AL,10,FALSE)+7,1)</f>
        <v>V</v>
      </c>
      <c r="U239" s="90" t="str">
        <f>MID(VLOOKUP($A239,Seqs!$A:$B,2,FALSE),VLOOKUP($A239,'NonXtal_SegEnds_Prot#'!A:AL,10,FALSE)+8,1)</f>
        <v>I</v>
      </c>
      <c r="V239" s="90" t="str">
        <f>MID(VLOOKUP($A239,Seqs!$A:$B,2,FALSE),VLOOKUP($A239,'NonXtal_SegEnds_Prot#'!A:AL,10,FALSE)+9,1)</f>
        <v>P</v>
      </c>
      <c r="W239" s="64" t="str">
        <f>MID(VLOOKUP($A239,Seqs!$A:$B,2,FALSE),VLOOKUP($A239,'NonXtal_SegEnds_Prot#'!$A:$AL,22,FALSE)+6,1)</f>
        <v>I</v>
      </c>
      <c r="X239" s="90" t="str">
        <f>MID(VLOOKUP($A239,Seqs!$A:$B,2,FALSE),VLOOKUP($A239,'NonXtal_SegEnds_Prot#'!$A:$AL,22,FALSE)+7,1)</f>
        <v>S</v>
      </c>
      <c r="Y239" s="90" t="str">
        <f>MID(VLOOKUP($A239,Seqs!$A:$B,2,FALSE),VLOOKUP($A239,'NonXtal_SegEnds_Prot#'!$A:$AL,22,FALSE)+8,1)</f>
        <v>F</v>
      </c>
      <c r="Z239" s="90" t="str">
        <f>MID(VLOOKUP($A239,Seqs!$A:$B,2,FALSE),VLOOKUP($A239,'NonXtal_SegEnds_Prot#'!$A:$AL,22,FALSE)+9,1)</f>
        <v>P</v>
      </c>
      <c r="AA239" s="90" t="str">
        <f>MID(VLOOKUP($A239,Seqs!$A:$B,2,FALSE),VLOOKUP($A239,'NonXtal_SegEnds_Prot#'!$A:$AL,22,FALSE)+10,1)</f>
        <v>P</v>
      </c>
      <c r="AB239" s="64" t="str">
        <f>MID(VLOOKUP($A239,Seqs!$A:$B,2,FALSE),VLOOKUP($A239,'NonXtal_SegEnds_Prot#'!$A:$AL,28,FALSE)-4,1)</f>
        <v>S</v>
      </c>
      <c r="AC239" s="90" t="str">
        <f>MID(VLOOKUP($A239,Seqs!$A:$B,2,FALSE),VLOOKUP($A239,'NonXtal_SegEnds_Prot#'!$A:$AL,28,FALSE),1)</f>
        <v>P</v>
      </c>
    </row>
    <row r="240" spans="1:29" s="2" customFormat="1" x14ac:dyDescent="0.2">
      <c r="A240" s="2" t="s">
        <v>349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64" t="str">
        <f>MID(VLOOKUP($A240,Seqs!$A:$B,2,FALSE),VLOOKUP($A240,'NonXtal_SegEnds_Prot#'!A:AL,10,FALSE),1)</f>
        <v>D</v>
      </c>
      <c r="S240" s="90" t="str">
        <f>MID(VLOOKUP($A240,Seqs!$A:$B,2,FALSE),VLOOKUP($A240,'NonXtal_SegEnds_Prot#'!A:AL,10,FALSE)+6,1)</f>
        <v>L</v>
      </c>
      <c r="T240" s="90" t="str">
        <f>MID(VLOOKUP($A240,Seqs!$A:$B,2,FALSE),VLOOKUP($A240,'NonXtal_SegEnds_Prot#'!A:AL,10,FALSE)+7,1)</f>
        <v>I</v>
      </c>
      <c r="U240" s="90" t="str">
        <f>MID(VLOOKUP($A240,Seqs!$A:$B,2,FALSE),VLOOKUP($A240,'NonXtal_SegEnds_Prot#'!A:AL,10,FALSE)+8,1)</f>
        <v>I</v>
      </c>
      <c r="V240" s="90" t="str">
        <f>MID(VLOOKUP($A240,Seqs!$A:$B,2,FALSE),VLOOKUP($A240,'NonXtal_SegEnds_Prot#'!A:AL,10,FALSE)+9,1)</f>
        <v>P</v>
      </c>
      <c r="W240" s="64" t="str">
        <f>MID(VLOOKUP($A240,Seqs!$A:$B,2,FALSE),VLOOKUP($A240,'NonXtal_SegEnds_Prot#'!$A:$AL,22,FALSE)+6,1)</f>
        <v>I</v>
      </c>
      <c r="X240" s="90" t="str">
        <f>MID(VLOOKUP($A240,Seqs!$A:$B,2,FALSE),VLOOKUP($A240,'NonXtal_SegEnds_Prot#'!$A:$AL,22,FALSE)+7,1)</f>
        <v>S</v>
      </c>
      <c r="Y240" s="90" t="str">
        <f>MID(VLOOKUP($A240,Seqs!$A:$B,2,FALSE),VLOOKUP($A240,'NonXtal_SegEnds_Prot#'!$A:$AL,22,FALSE)+8,1)</f>
        <v>L</v>
      </c>
      <c r="Z240" s="90" t="str">
        <f>MID(VLOOKUP($A240,Seqs!$A:$B,2,FALSE),VLOOKUP($A240,'NonXtal_SegEnds_Prot#'!$A:$AL,22,FALSE)+9,1)</f>
        <v>P</v>
      </c>
      <c r="AA240" s="90" t="str">
        <f>MID(VLOOKUP($A240,Seqs!$A:$B,2,FALSE),VLOOKUP($A240,'NonXtal_SegEnds_Prot#'!$A:$AL,22,FALSE)+10,1)</f>
        <v>P</v>
      </c>
      <c r="AB240" s="64" t="str">
        <f>MID(VLOOKUP($A240,Seqs!$A:$B,2,FALSE),VLOOKUP($A240,'NonXtal_SegEnds_Prot#'!$A:$AL,28,FALSE)-4,1)</f>
        <v>S</v>
      </c>
      <c r="AC240" s="90" t="str">
        <f>MID(VLOOKUP($A240,Seqs!$A:$B,2,FALSE),VLOOKUP($A240,'NonXtal_SegEnds_Prot#'!$A:$AL,28,FALSE),1)</f>
        <v>P</v>
      </c>
    </row>
    <row r="241" spans="1:29" s="2" customFormat="1" x14ac:dyDescent="0.2">
      <c r="A241" s="2" t="s">
        <v>350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64" t="str">
        <f>MID(VLOOKUP($A241,Seqs!$A:$B,2,FALSE),VLOOKUP($A241,'NonXtal_SegEnds_Prot#'!A:AL,10,FALSE),1)</f>
        <v>D</v>
      </c>
      <c r="S241" s="90" t="str">
        <f>MID(VLOOKUP($A241,Seqs!$A:$B,2,FALSE),VLOOKUP($A241,'NonXtal_SegEnds_Prot#'!A:AL,10,FALSE)+6,1)</f>
        <v>L</v>
      </c>
      <c r="T241" s="90" t="str">
        <f>MID(VLOOKUP($A241,Seqs!$A:$B,2,FALSE),VLOOKUP($A241,'NonXtal_SegEnds_Prot#'!A:AL,10,FALSE)+7,1)</f>
        <v>V</v>
      </c>
      <c r="U241" s="90" t="str">
        <f>MID(VLOOKUP($A241,Seqs!$A:$B,2,FALSE),VLOOKUP($A241,'NonXtal_SegEnds_Prot#'!A:AL,10,FALSE)+8,1)</f>
        <v>M</v>
      </c>
      <c r="V241" s="90" t="str">
        <f>MID(VLOOKUP($A241,Seqs!$A:$B,2,FALSE),VLOOKUP($A241,'NonXtal_SegEnds_Prot#'!A:AL,10,FALSE)+9,1)</f>
        <v>P</v>
      </c>
      <c r="W241" s="64" t="str">
        <f>MID(VLOOKUP($A241,Seqs!$A:$B,2,FALSE),VLOOKUP($A241,'NonXtal_SegEnds_Prot#'!$A:$AL,22,FALSE)+6,1)</f>
        <v>I</v>
      </c>
      <c r="X241" s="90" t="str">
        <f>MID(VLOOKUP($A241,Seqs!$A:$B,2,FALSE),VLOOKUP($A241,'NonXtal_SegEnds_Prot#'!$A:$AL,22,FALSE)+7,1)</f>
        <v>S</v>
      </c>
      <c r="Y241" s="90" t="str">
        <f>MID(VLOOKUP($A241,Seqs!$A:$B,2,FALSE),VLOOKUP($A241,'NonXtal_SegEnds_Prot#'!$A:$AL,22,FALSE)+8,1)</f>
        <v>F</v>
      </c>
      <c r="Z241" s="90" t="str">
        <f>MID(VLOOKUP($A241,Seqs!$A:$B,2,FALSE),VLOOKUP($A241,'NonXtal_SegEnds_Prot#'!$A:$AL,22,FALSE)+9,1)</f>
        <v>P</v>
      </c>
      <c r="AA241" s="90" t="str">
        <f>MID(VLOOKUP($A241,Seqs!$A:$B,2,FALSE),VLOOKUP($A241,'NonXtal_SegEnds_Prot#'!$A:$AL,22,FALSE)+10,1)</f>
        <v>P</v>
      </c>
      <c r="AB241" s="64" t="str">
        <f>MID(VLOOKUP($A241,Seqs!$A:$B,2,FALSE),VLOOKUP($A241,'NonXtal_SegEnds_Prot#'!$A:$AL,28,FALSE)-4,1)</f>
        <v>S</v>
      </c>
      <c r="AC241" s="90" t="str">
        <f>MID(VLOOKUP($A241,Seqs!$A:$B,2,FALSE),VLOOKUP($A241,'NonXtal_SegEnds_Prot#'!$A:$AL,28,FALSE),1)</f>
        <v>P</v>
      </c>
    </row>
    <row r="242" spans="1:29" s="2" customFormat="1" x14ac:dyDescent="0.2">
      <c r="A242" s="2" t="s">
        <v>318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64" t="str">
        <f>MID(VLOOKUP($A242,Seqs!$A:$B,2,FALSE),VLOOKUP($A242,'NonXtal_SegEnds_Prot#'!A:AL,10,FALSE),1)</f>
        <v>D</v>
      </c>
      <c r="S242" s="90" t="str">
        <f>MID(VLOOKUP($A242,Seqs!$A:$B,2,FALSE),VLOOKUP($A242,'NonXtal_SegEnds_Prot#'!A:AL,10,FALSE)+6,1)</f>
        <v>L</v>
      </c>
      <c r="T242" s="90" t="str">
        <f>MID(VLOOKUP($A242,Seqs!$A:$B,2,FALSE),VLOOKUP($A242,'NonXtal_SegEnds_Prot#'!A:AL,10,FALSE)+7,1)</f>
        <v>V</v>
      </c>
      <c r="U242" s="90" t="str">
        <f>MID(VLOOKUP($A242,Seqs!$A:$B,2,FALSE),VLOOKUP($A242,'NonXtal_SegEnds_Prot#'!A:AL,10,FALSE)+8,1)</f>
        <v>V</v>
      </c>
      <c r="V242" s="90" t="str">
        <f>MID(VLOOKUP($A242,Seqs!$A:$B,2,FALSE),VLOOKUP($A242,'NonXtal_SegEnds_Prot#'!A:AL,10,FALSE)+9,1)</f>
        <v>P</v>
      </c>
      <c r="W242" s="64" t="str">
        <f>MID(VLOOKUP($A242,Seqs!$A:$B,2,FALSE),VLOOKUP($A242,'NonXtal_SegEnds_Prot#'!$A:$AL,22,FALSE)+6,1)</f>
        <v>V</v>
      </c>
      <c r="X242" s="90" t="str">
        <f>MID(VLOOKUP($A242,Seqs!$A:$B,2,FALSE),VLOOKUP($A242,'NonXtal_SegEnds_Prot#'!$A:$AL,22,FALSE)+7,1)</f>
        <v>S</v>
      </c>
      <c r="Y242" s="90" t="str">
        <f>MID(VLOOKUP($A242,Seqs!$A:$B,2,FALSE),VLOOKUP($A242,'NonXtal_SegEnds_Prot#'!$A:$AL,22,FALSE)+8,1)</f>
        <v>F</v>
      </c>
      <c r="Z242" s="90" t="str">
        <f>MID(VLOOKUP($A242,Seqs!$A:$B,2,FALSE),VLOOKUP($A242,'NonXtal_SegEnds_Prot#'!$A:$AL,22,FALSE)+9,1)</f>
        <v>L</v>
      </c>
      <c r="AA242" s="90" t="str">
        <f>MID(VLOOKUP($A242,Seqs!$A:$B,2,FALSE),VLOOKUP($A242,'NonXtal_SegEnds_Prot#'!$A:$AL,22,FALSE)+10,1)</f>
        <v>P</v>
      </c>
      <c r="AB242" s="64" t="str">
        <f>MID(VLOOKUP($A242,Seqs!$A:$B,2,FALSE),VLOOKUP($A242,'NonXtal_SegEnds_Prot#'!$A:$AL,28,FALSE)-4,1)</f>
        <v>S</v>
      </c>
      <c r="AC242" s="90" t="str">
        <f>MID(VLOOKUP($A242,Seqs!$A:$B,2,FALSE),VLOOKUP($A242,'NonXtal_SegEnds_Prot#'!$A:$AL,28,FALSE),1)</f>
        <v>P</v>
      </c>
    </row>
    <row r="243" spans="1:29" s="2" customFormat="1" x14ac:dyDescent="0.2">
      <c r="A243" s="2" t="s">
        <v>1107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64" t="str">
        <f>MID(VLOOKUP($A243,Seqs!$A:$B,2,FALSE),VLOOKUP($A243,'NonXtal_SegEnds_Prot#'!A:AL,10,FALSE),1)</f>
        <v>D</v>
      </c>
      <c r="S243" s="90" t="str">
        <f>MID(VLOOKUP($A243,Seqs!$A:$B,2,FALSE),VLOOKUP($A243,'NonXtal_SegEnds_Prot#'!A:AL,10,FALSE)+6,1)</f>
        <v>L</v>
      </c>
      <c r="T243" s="90" t="str">
        <f>MID(VLOOKUP($A243,Seqs!$A:$B,2,FALSE),VLOOKUP($A243,'NonXtal_SegEnds_Prot#'!A:AL,10,FALSE)+7,1)</f>
        <v>V</v>
      </c>
      <c r="U243" s="90" t="str">
        <f>MID(VLOOKUP($A243,Seqs!$A:$B,2,FALSE),VLOOKUP($A243,'NonXtal_SegEnds_Prot#'!A:AL,10,FALSE)+8,1)</f>
        <v>V</v>
      </c>
      <c r="V243" s="90" t="str">
        <f>MID(VLOOKUP($A243,Seqs!$A:$B,2,FALSE),VLOOKUP($A243,'NonXtal_SegEnds_Prot#'!A:AL,10,FALSE)+9,1)</f>
        <v>P</v>
      </c>
      <c r="W243" s="64" t="str">
        <f>MID(VLOOKUP($A243,Seqs!$A:$B,2,FALSE),VLOOKUP($A243,'NonXtal_SegEnds_Prot#'!$A:$AL,22,FALSE)+6,1)</f>
        <v>V</v>
      </c>
      <c r="X243" s="90" t="str">
        <f>MID(VLOOKUP($A243,Seqs!$A:$B,2,FALSE),VLOOKUP($A243,'NonXtal_SegEnds_Prot#'!$A:$AL,22,FALSE)+7,1)</f>
        <v>S</v>
      </c>
      <c r="Y243" s="90" t="str">
        <f>MID(VLOOKUP($A243,Seqs!$A:$B,2,FALSE),VLOOKUP($A243,'NonXtal_SegEnds_Prot#'!$A:$AL,22,FALSE)+8,1)</f>
        <v>F</v>
      </c>
      <c r="Z243" s="90" t="str">
        <f>MID(VLOOKUP($A243,Seqs!$A:$B,2,FALSE),VLOOKUP($A243,'NonXtal_SegEnds_Prot#'!$A:$AL,22,FALSE)+9,1)</f>
        <v>L</v>
      </c>
      <c r="AA243" s="90" t="str">
        <f>MID(VLOOKUP($A243,Seqs!$A:$B,2,FALSE),VLOOKUP($A243,'NonXtal_SegEnds_Prot#'!$A:$AL,22,FALSE)+10,1)</f>
        <v>P</v>
      </c>
      <c r="AB243" s="64" t="str">
        <f>MID(VLOOKUP($A243,Seqs!$A:$B,2,FALSE),VLOOKUP($A243,'NonXtal_SegEnds_Prot#'!$A:$AL,28,FALSE)-4,1)</f>
        <v>S</v>
      </c>
      <c r="AC243" s="90" t="str">
        <f>MID(VLOOKUP($A243,Seqs!$A:$B,2,FALSE),VLOOKUP($A243,'NonXtal_SegEnds_Prot#'!$A:$AL,28,FALSE),1)</f>
        <v>P</v>
      </c>
    </row>
    <row r="244" spans="1:29" s="2" customFormat="1" x14ac:dyDescent="0.2">
      <c r="A244" s="2" t="s">
        <v>319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64" t="str">
        <f>MID(VLOOKUP($A244,Seqs!$A:$B,2,FALSE),VLOOKUP($A244,'NonXtal_SegEnds_Prot#'!A:AL,10,FALSE),1)</f>
        <v>D</v>
      </c>
      <c r="S244" s="90" t="str">
        <f>MID(VLOOKUP($A244,Seqs!$A:$B,2,FALSE),VLOOKUP($A244,'NonXtal_SegEnds_Prot#'!A:AL,10,FALSE)+6,1)</f>
        <v>A</v>
      </c>
      <c r="T244" s="90" t="str">
        <f>MID(VLOOKUP($A244,Seqs!$A:$B,2,FALSE),VLOOKUP($A244,'NonXtal_SegEnds_Prot#'!A:AL,10,FALSE)+7,1)</f>
        <v>V</v>
      </c>
      <c r="U244" s="90" t="str">
        <f>MID(VLOOKUP($A244,Seqs!$A:$B,2,FALSE),VLOOKUP($A244,'NonXtal_SegEnds_Prot#'!A:AL,10,FALSE)+8,1)</f>
        <v>V</v>
      </c>
      <c r="V244" s="90" t="str">
        <f>MID(VLOOKUP($A244,Seqs!$A:$B,2,FALSE),VLOOKUP($A244,'NonXtal_SegEnds_Prot#'!A:AL,10,FALSE)+9,1)</f>
        <v>P</v>
      </c>
      <c r="W244" s="64" t="str">
        <f>MID(VLOOKUP($A244,Seqs!$A:$B,2,FALSE),VLOOKUP($A244,'NonXtal_SegEnds_Prot#'!$A:$AL,22,FALSE)+6,1)</f>
        <v>T</v>
      </c>
      <c r="X244" s="90" t="str">
        <f>MID(VLOOKUP($A244,Seqs!$A:$B,2,FALSE),VLOOKUP($A244,'NonXtal_SegEnds_Prot#'!$A:$AL,22,FALSE)+7,1)</f>
        <v>S</v>
      </c>
      <c r="Y244" s="90" t="str">
        <f>MID(VLOOKUP($A244,Seqs!$A:$B,2,FALSE),VLOOKUP($A244,'NonXtal_SegEnds_Prot#'!$A:$AL,22,FALSE)+8,1)</f>
        <v>F</v>
      </c>
      <c r="Z244" s="90" t="str">
        <f>MID(VLOOKUP($A244,Seqs!$A:$B,2,FALSE),VLOOKUP($A244,'NonXtal_SegEnds_Prot#'!$A:$AL,22,FALSE)+9,1)</f>
        <v>L</v>
      </c>
      <c r="AA244" s="90" t="str">
        <f>MID(VLOOKUP($A244,Seqs!$A:$B,2,FALSE),VLOOKUP($A244,'NonXtal_SegEnds_Prot#'!$A:$AL,22,FALSE)+10,1)</f>
        <v>P</v>
      </c>
      <c r="AB244" s="64" t="str">
        <f>MID(VLOOKUP($A244,Seqs!$A:$B,2,FALSE),VLOOKUP($A244,'NonXtal_SegEnds_Prot#'!$A:$AL,28,FALSE)-4,1)</f>
        <v>S</v>
      </c>
      <c r="AC244" s="90" t="str">
        <f>MID(VLOOKUP($A244,Seqs!$A:$B,2,FALSE),VLOOKUP($A244,'NonXtal_SegEnds_Prot#'!$A:$AL,28,FALSE),1)</f>
        <v>P</v>
      </c>
    </row>
    <row r="245" spans="1:29" s="2" customFormat="1" x14ac:dyDescent="0.2">
      <c r="A245" s="2" t="s">
        <v>295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64" t="str">
        <f>MID(VLOOKUP($A245,Seqs!$A:$B,2,FALSE),VLOOKUP($A245,'NonXtal_SegEnds_Prot#'!A:AL,10,FALSE),1)</f>
        <v>D</v>
      </c>
      <c r="S245" s="90" t="str">
        <f>MID(VLOOKUP($A245,Seqs!$A:$B,2,FALSE),VLOOKUP($A245,'NonXtal_SegEnds_Prot#'!A:AL,10,FALSE)+6,1)</f>
        <v>L</v>
      </c>
      <c r="T245" s="90" t="str">
        <f>MID(VLOOKUP($A245,Seqs!$A:$B,2,FALSE),VLOOKUP($A245,'NonXtal_SegEnds_Prot#'!A:AL,10,FALSE)+7,1)</f>
        <v>V</v>
      </c>
      <c r="U245" s="90" t="str">
        <f>MID(VLOOKUP($A245,Seqs!$A:$B,2,FALSE),VLOOKUP($A245,'NonXtal_SegEnds_Prot#'!A:AL,10,FALSE)+8,1)</f>
        <v>V</v>
      </c>
      <c r="V245" s="90" t="str">
        <f>MID(VLOOKUP($A245,Seqs!$A:$B,2,FALSE),VLOOKUP($A245,'NonXtal_SegEnds_Prot#'!A:AL,10,FALSE)+9,1)</f>
        <v>P</v>
      </c>
      <c r="W245" s="64" t="str">
        <f>MID(VLOOKUP($A245,Seqs!$A:$B,2,FALSE),VLOOKUP($A245,'NonXtal_SegEnds_Prot#'!$A:$AL,22,FALSE)+6,1)</f>
        <v>V</v>
      </c>
      <c r="X245" s="90" t="str">
        <f>MID(VLOOKUP($A245,Seqs!$A:$B,2,FALSE),VLOOKUP($A245,'NonXtal_SegEnds_Prot#'!$A:$AL,22,FALSE)+7,1)</f>
        <v>S</v>
      </c>
      <c r="Y245" s="90" t="str">
        <f>MID(VLOOKUP($A245,Seqs!$A:$B,2,FALSE),VLOOKUP($A245,'NonXtal_SegEnds_Prot#'!$A:$AL,22,FALSE)+8,1)</f>
        <v>F</v>
      </c>
      <c r="Z245" s="90" t="str">
        <f>MID(VLOOKUP($A245,Seqs!$A:$B,2,FALSE),VLOOKUP($A245,'NonXtal_SegEnds_Prot#'!$A:$AL,22,FALSE)+9,1)</f>
        <v>A</v>
      </c>
      <c r="AA245" s="90" t="str">
        <f>MID(VLOOKUP($A245,Seqs!$A:$B,2,FALSE),VLOOKUP($A245,'NonXtal_SegEnds_Prot#'!$A:$AL,22,FALSE)+10,1)</f>
        <v>P</v>
      </c>
      <c r="AB245" s="64" t="str">
        <f>MID(VLOOKUP($A245,Seqs!$A:$B,2,FALSE),VLOOKUP($A245,'NonXtal_SegEnds_Prot#'!$A:$AL,28,FALSE)-4,1)</f>
        <v>S</v>
      </c>
      <c r="AC245" s="90" t="str">
        <f>MID(VLOOKUP($A245,Seqs!$A:$B,2,FALSE),VLOOKUP($A245,'NonXtal_SegEnds_Prot#'!$A:$AL,28,FALSE),1)</f>
        <v>P</v>
      </c>
    </row>
    <row r="246" spans="1:29" s="2" customFormat="1" x14ac:dyDescent="0.2">
      <c r="A246" s="2" t="s">
        <v>367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64" t="str">
        <f>MID(VLOOKUP($A246,Seqs!$A:$B,2,FALSE),VLOOKUP($A246,'NonXtal_SegEnds_Prot#'!A:AL,10,FALSE),1)</f>
        <v>D</v>
      </c>
      <c r="S246" s="90" t="str">
        <f>MID(VLOOKUP($A246,Seqs!$A:$B,2,FALSE),VLOOKUP($A246,'NonXtal_SegEnds_Prot#'!A:AL,10,FALSE)+6,1)</f>
        <v>T</v>
      </c>
      <c r="T246" s="90" t="str">
        <f>MID(VLOOKUP($A246,Seqs!$A:$B,2,FALSE),VLOOKUP($A246,'NonXtal_SegEnds_Prot#'!A:AL,10,FALSE)+7,1)</f>
        <v>L</v>
      </c>
      <c r="U246" s="90" t="str">
        <f>MID(VLOOKUP($A246,Seqs!$A:$B,2,FALSE),VLOOKUP($A246,'NonXtal_SegEnds_Prot#'!A:AL,10,FALSE)+8,1)</f>
        <v>P</v>
      </c>
      <c r="V246" s="90" t="str">
        <f>MID(VLOOKUP($A246,Seqs!$A:$B,2,FALSE),VLOOKUP($A246,'NonXtal_SegEnds_Prot#'!A:AL,10,FALSE)+9,1)</f>
        <v>F</v>
      </c>
      <c r="W246" s="64" t="str">
        <f>MID(VLOOKUP($A246,Seqs!$A:$B,2,FALSE),VLOOKUP($A246,'NonXtal_SegEnds_Prot#'!$A:$AL,22,FALSE)+6,1)</f>
        <v>I</v>
      </c>
      <c r="X246" s="90" t="str">
        <f>MID(VLOOKUP($A246,Seqs!$A:$B,2,FALSE),VLOOKUP($A246,'NonXtal_SegEnds_Prot#'!$A:$AL,22,FALSE)+7,1)</f>
        <v>S</v>
      </c>
      <c r="Y246" s="90" t="str">
        <f>MID(VLOOKUP($A246,Seqs!$A:$B,2,FALSE),VLOOKUP($A246,'NonXtal_SegEnds_Prot#'!$A:$AL,22,FALSE)+8,1)</f>
        <v>S</v>
      </c>
      <c r="Z246" s="90" t="str">
        <f>MID(VLOOKUP($A246,Seqs!$A:$B,2,FALSE),VLOOKUP($A246,'NonXtal_SegEnds_Prot#'!$A:$AL,22,FALSE)+9,1)</f>
        <v>S</v>
      </c>
      <c r="AA246" s="90" t="str">
        <f>MID(VLOOKUP($A246,Seqs!$A:$B,2,FALSE),VLOOKUP($A246,'NonXtal_SegEnds_Prot#'!$A:$AL,22,FALSE)+10,1)</f>
        <v>T</v>
      </c>
      <c r="AB246" s="64" t="str">
        <f>MID(VLOOKUP($A246,Seqs!$A:$B,2,FALSE),VLOOKUP($A246,'NonXtal_SegEnds_Prot#'!$A:$AL,28,FALSE)-4,1)</f>
        <v>G</v>
      </c>
      <c r="AC246" s="90" t="str">
        <f>MID(VLOOKUP($A246,Seqs!$A:$B,2,FALSE),VLOOKUP($A246,'NonXtal_SegEnds_Prot#'!$A:$AL,28,FALSE),1)</f>
        <v>P</v>
      </c>
    </row>
    <row r="247" spans="1:29" s="2" customFormat="1" x14ac:dyDescent="0.2">
      <c r="A247" s="2" t="s">
        <v>373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64" t="str">
        <f>MID(VLOOKUP($A247,Seqs!$A:$B,2,FALSE),VLOOKUP($A247,'NonXtal_SegEnds_Prot#'!A:AL,10,FALSE),1)</f>
        <v>D</v>
      </c>
      <c r="S247" s="90" t="str">
        <f>MID(VLOOKUP($A247,Seqs!$A:$B,2,FALSE),VLOOKUP($A247,'NonXtal_SegEnds_Prot#'!A:AL,10,FALSE)+6,1)</f>
        <v>T</v>
      </c>
      <c r="T247" s="90" t="str">
        <f>MID(VLOOKUP($A247,Seqs!$A:$B,2,FALSE),VLOOKUP($A247,'NonXtal_SegEnds_Prot#'!A:AL,10,FALSE)+7,1)</f>
        <v>L</v>
      </c>
      <c r="U247" s="90" t="str">
        <f>MID(VLOOKUP($A247,Seqs!$A:$B,2,FALSE),VLOOKUP($A247,'NonXtal_SegEnds_Prot#'!A:AL,10,FALSE)+8,1)</f>
        <v>P</v>
      </c>
      <c r="V247" s="90" t="str">
        <f>MID(VLOOKUP($A247,Seqs!$A:$B,2,FALSE),VLOOKUP($A247,'NonXtal_SegEnds_Prot#'!A:AL,10,FALSE)+9,1)</f>
        <v>F</v>
      </c>
      <c r="W247" s="64" t="str">
        <f>MID(VLOOKUP($A247,Seqs!$A:$B,2,FALSE),VLOOKUP($A247,'NonXtal_SegEnds_Prot#'!$A:$AL,22,FALSE)+6,1)</f>
        <v>S</v>
      </c>
      <c r="X247" s="90" t="str">
        <f>MID(VLOOKUP($A247,Seqs!$A:$B,2,FALSE),VLOOKUP($A247,'NonXtal_SegEnds_Prot#'!$A:$AL,22,FALSE)+7,1)</f>
        <v>S</v>
      </c>
      <c r="Y247" s="90" t="str">
        <f>MID(VLOOKUP($A247,Seqs!$A:$B,2,FALSE),VLOOKUP($A247,'NonXtal_SegEnds_Prot#'!$A:$AL,22,FALSE)+8,1)</f>
        <v>I</v>
      </c>
      <c r="Z247" s="90" t="str">
        <f>MID(VLOOKUP($A247,Seqs!$A:$B,2,FALSE),VLOOKUP($A247,'NonXtal_SegEnds_Prot#'!$A:$AL,22,FALSE)+9,1)</f>
        <v>M</v>
      </c>
      <c r="AA247" s="90" t="str">
        <f>MID(VLOOKUP($A247,Seqs!$A:$B,2,FALSE),VLOOKUP($A247,'NonXtal_SegEnds_Prot#'!$A:$AL,22,FALSE)+10,1)</f>
        <v>L</v>
      </c>
      <c r="AB247" s="64" t="str">
        <f>MID(VLOOKUP($A247,Seqs!$A:$B,2,FALSE),VLOOKUP($A247,'NonXtal_SegEnds_Prot#'!$A:$AL,28,FALSE)-4,1)</f>
        <v>G</v>
      </c>
      <c r="AC247" s="90" t="str">
        <f>MID(VLOOKUP($A247,Seqs!$A:$B,2,FALSE),VLOOKUP($A247,'NonXtal_SegEnds_Prot#'!$A:$AL,28,FALSE),1)</f>
        <v>P</v>
      </c>
    </row>
    <row r="248" spans="1:29" s="2" customFormat="1" x14ac:dyDescent="0.2">
      <c r="A248" s="2" t="s">
        <v>376</v>
      </c>
      <c r="B248" s="2" t="str">
        <f>LOWER(VLOOKUP(A248,Xtal_Templ!A:B,2,FALSE))</f>
        <v>cnr1_human</v>
      </c>
      <c r="C248" s="2" t="str">
        <f>VLOOKUP(A248,Classification!A:D,2,FALSE)</f>
        <v>A</v>
      </c>
      <c r="P248" s="4" t="s">
        <v>51</v>
      </c>
      <c r="R248" s="64" t="str">
        <f>MID(VLOOKUP($A248,Seqs!$A:$B,2,FALSE),VLOOKUP($A248,'NonXtal_SegEnds_Prot#'!A:AL,10,FALSE),1)</f>
        <v>D</v>
      </c>
      <c r="S248" s="90" t="str">
        <f>MID(VLOOKUP($A248,Seqs!$A:$B,2,FALSE),VLOOKUP($A248,'NonXtal_SegEnds_Prot#'!A:AL,10,FALSE)+6,1)</f>
        <v>V</v>
      </c>
      <c r="T248" s="90" t="str">
        <f>MID(VLOOKUP($A248,Seqs!$A:$B,2,FALSE),VLOOKUP($A248,'NonXtal_SegEnds_Prot#'!A:AL,10,FALSE)+7,1)</f>
        <v>F</v>
      </c>
      <c r="U248" s="90" t="str">
        <f>MID(VLOOKUP($A248,Seqs!$A:$B,2,FALSE),VLOOKUP($A248,'NonXtal_SegEnds_Prot#'!A:AL,10,FALSE)+8,1)</f>
        <v>A</v>
      </c>
      <c r="V248" s="90" t="str">
        <f>MID(VLOOKUP($A248,Seqs!$A:$B,2,FALSE),VLOOKUP($A248,'NonXtal_SegEnds_Prot#'!A:AL,10,FALSE)+9,1)</f>
        <v>C</v>
      </c>
      <c r="W248" s="64" t="str">
        <f>MID(VLOOKUP($A248,Seqs!$A:$B,2,FALSE),VLOOKUP($A248,'NonXtal_SegEnds_Prot#'!$A:$AL,22,FALSE)+6,1)</f>
        <v>V</v>
      </c>
      <c r="X248" s="90" t="str">
        <f>MID(VLOOKUP($A248,Seqs!$A:$B,2,FALSE),VLOOKUP($A248,'NonXtal_SegEnds_Prot#'!$A:$AL,22,FALSE)+7,1)</f>
        <v>S</v>
      </c>
      <c r="Y248" s="90" t="str">
        <f>MID(VLOOKUP($A248,Seqs!$A:$B,2,FALSE),VLOOKUP($A248,'NonXtal_SegEnds_Prot#'!$A:$AL,22,FALSE)+8,1)</f>
        <v>Y</v>
      </c>
      <c r="Z248" s="90" t="str">
        <f>MID(VLOOKUP($A248,Seqs!$A:$B,2,FALSE),VLOOKUP($A248,'NonXtal_SegEnds_Prot#'!$A:$AL,22,FALSE)+9,1)</f>
        <v>L</v>
      </c>
      <c r="AA248" s="90" t="str">
        <f>MID(VLOOKUP($A248,Seqs!$A:$B,2,FALSE),VLOOKUP($A248,'NonXtal_SegEnds_Prot#'!$A:$AL,22,FALSE)+10,1)</f>
        <v>P</v>
      </c>
      <c r="AB248" s="64" t="str">
        <f>MID(VLOOKUP($A248,Seqs!$A:$B,2,FALSE),VLOOKUP($A248,'NonXtal_SegEnds_Prot#'!$A:$AL,28,FALSE)-4,1)</f>
        <v>F</v>
      </c>
      <c r="AC248" s="90" t="str">
        <f>MID(VLOOKUP($A248,Seqs!$A:$B,2,FALSE),VLOOKUP($A248,'NonXtal_SegEnds_Prot#'!$A:$AL,28,FALSE),1)</f>
        <v>L</v>
      </c>
    </row>
    <row r="249" spans="1:29" s="2" customFormat="1" x14ac:dyDescent="0.2">
      <c r="A249" s="2" t="s">
        <v>383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64" t="str">
        <f>MID(VLOOKUP($A249,Seqs!$A:$B,2,FALSE),VLOOKUP($A249,'NonXtal_SegEnds_Prot#'!A:AL,10,FALSE),1)</f>
        <v>D</v>
      </c>
      <c r="S249" s="90" t="str">
        <f>MID(VLOOKUP($A249,Seqs!$A:$B,2,FALSE),VLOOKUP($A249,'NonXtal_SegEnds_Prot#'!A:AL,10,FALSE)+6,1)</f>
        <v>L</v>
      </c>
      <c r="T249" s="90" t="str">
        <f>MID(VLOOKUP($A249,Seqs!$A:$B,2,FALSE),VLOOKUP($A249,'NonXtal_SegEnds_Prot#'!A:AL,10,FALSE)+7,1)</f>
        <v>V</v>
      </c>
      <c r="U249" s="90" t="str">
        <f>MID(VLOOKUP($A249,Seqs!$A:$B,2,FALSE),VLOOKUP($A249,'NonXtal_SegEnds_Prot#'!A:AL,10,FALSE)+8,1)</f>
        <v>M</v>
      </c>
      <c r="V249" s="90" t="str">
        <f>MID(VLOOKUP($A249,Seqs!$A:$B,2,FALSE),VLOOKUP($A249,'NonXtal_SegEnds_Prot#'!A:AL,10,FALSE)+9,1)</f>
        <v>P</v>
      </c>
      <c r="W249" s="64" t="str">
        <f>MID(VLOOKUP($A249,Seqs!$A:$B,2,FALSE),VLOOKUP($A249,'NonXtal_SegEnds_Prot#'!$A:$AL,22,FALSE)+6,1)</f>
        <v>I</v>
      </c>
      <c r="X249" s="90" t="str">
        <f>MID(VLOOKUP($A249,Seqs!$A:$B,2,FALSE),VLOOKUP($A249,'NonXtal_SegEnds_Prot#'!$A:$AL,22,FALSE)+7,1)</f>
        <v>S</v>
      </c>
      <c r="Y249" s="90" t="str">
        <f>MID(VLOOKUP($A249,Seqs!$A:$B,2,FALSE),VLOOKUP($A249,'NonXtal_SegEnds_Prot#'!$A:$AL,22,FALSE)+8,1)</f>
        <v>F</v>
      </c>
      <c r="Z249" s="90" t="str">
        <f>MID(VLOOKUP($A249,Seqs!$A:$B,2,FALSE),VLOOKUP($A249,'NonXtal_SegEnds_Prot#'!$A:$AL,22,FALSE)+9,1)</f>
        <v>I</v>
      </c>
      <c r="AA249" s="90" t="str">
        <f>MID(VLOOKUP($A249,Seqs!$A:$B,2,FALSE),VLOOKUP($A249,'NonXtal_SegEnds_Prot#'!$A:$AL,22,FALSE)+10,1)</f>
        <v>P</v>
      </c>
      <c r="AB249" s="64" t="str">
        <f>MID(VLOOKUP($A249,Seqs!$A:$B,2,FALSE),VLOOKUP($A249,'NonXtal_SegEnds_Prot#'!$A:$AL,28,FALSE)-4,1)</f>
        <v>S</v>
      </c>
      <c r="AC249" s="90" t="str">
        <f>MID(VLOOKUP($A249,Seqs!$A:$B,2,FALSE),VLOOKUP($A249,'NonXtal_SegEnds_Prot#'!$A:$AL,28,FALSE),1)</f>
        <v>P</v>
      </c>
    </row>
    <row r="250" spans="1:29" s="2" customFormat="1" x14ac:dyDescent="0.2">
      <c r="A250" s="2" t="s">
        <v>387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64" t="str">
        <f>MID(VLOOKUP($A250,Seqs!$A:$B,2,FALSE),VLOOKUP($A250,'NonXtal_SegEnds_Prot#'!A:AL,10,FALSE),1)</f>
        <v>D</v>
      </c>
      <c r="S250" s="90" t="str">
        <f>MID(VLOOKUP($A250,Seqs!$A:$B,2,FALSE),VLOOKUP($A250,'NonXtal_SegEnds_Prot#'!A:AL,10,FALSE)+6,1)</f>
        <v>L</v>
      </c>
      <c r="T250" s="90" t="str">
        <f>MID(VLOOKUP($A250,Seqs!$A:$B,2,FALSE),VLOOKUP($A250,'NonXtal_SegEnds_Prot#'!A:AL,10,FALSE)+7,1)</f>
        <v>V</v>
      </c>
      <c r="U250" s="90" t="str">
        <f>MID(VLOOKUP($A250,Seqs!$A:$B,2,FALSE),VLOOKUP($A250,'NonXtal_SegEnds_Prot#'!A:AL,10,FALSE)+8,1)</f>
        <v>M</v>
      </c>
      <c r="V250" s="90" t="str">
        <f>MID(VLOOKUP($A250,Seqs!$A:$B,2,FALSE),VLOOKUP($A250,'NonXtal_SegEnds_Prot#'!A:AL,10,FALSE)+9,1)</f>
        <v>P</v>
      </c>
      <c r="W250" s="64" t="str">
        <f>MID(VLOOKUP($A250,Seqs!$A:$B,2,FALSE),VLOOKUP($A250,'NonXtal_SegEnds_Prot#'!$A:$AL,22,FALSE)+6,1)</f>
        <v>I</v>
      </c>
      <c r="X250" s="90" t="str">
        <f>MID(VLOOKUP($A250,Seqs!$A:$B,2,FALSE),VLOOKUP($A250,'NonXtal_SegEnds_Prot#'!$A:$AL,22,FALSE)+7,1)</f>
        <v>S</v>
      </c>
      <c r="Y250" s="90" t="str">
        <f>MID(VLOOKUP($A250,Seqs!$A:$B,2,FALSE),VLOOKUP($A250,'NonXtal_SegEnds_Prot#'!$A:$AL,22,FALSE)+8,1)</f>
        <v>F</v>
      </c>
      <c r="Z250" s="90" t="str">
        <f>MID(VLOOKUP($A250,Seqs!$A:$B,2,FALSE),VLOOKUP($A250,'NonXtal_SegEnds_Prot#'!$A:$AL,22,FALSE)+9,1)</f>
        <v>I</v>
      </c>
      <c r="AA250" s="90" t="str">
        <f>MID(VLOOKUP($A250,Seqs!$A:$B,2,FALSE),VLOOKUP($A250,'NonXtal_SegEnds_Prot#'!$A:$AL,22,FALSE)+10,1)</f>
        <v>P</v>
      </c>
      <c r="AB250" s="64" t="str">
        <f>MID(VLOOKUP($A250,Seqs!$A:$B,2,FALSE),VLOOKUP($A250,'NonXtal_SegEnds_Prot#'!$A:$AL,28,FALSE)-4,1)</f>
        <v>S</v>
      </c>
      <c r="AC250" s="90" t="str">
        <f>MID(VLOOKUP($A250,Seqs!$A:$B,2,FALSE),VLOOKUP($A250,'NonXtal_SegEnds_Prot#'!$A:$AL,28,FALSE),1)</f>
        <v>P</v>
      </c>
    </row>
    <row r="251" spans="1:29" s="2" customFormat="1" x14ac:dyDescent="0.2">
      <c r="A251" s="2" t="s">
        <v>405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64" t="str">
        <f>MID(VLOOKUP($A251,Seqs!$A:$B,2,FALSE),VLOOKUP($A251,'NonXtal_SegEnds_Prot#'!A:AL,10,FALSE),1)</f>
        <v>D</v>
      </c>
      <c r="S251" s="90" t="str">
        <f>MID(VLOOKUP($A251,Seqs!$A:$B,2,FALSE),VLOOKUP($A251,'NonXtal_SegEnds_Prot#'!A:AL,10,FALSE)+6,1)</f>
        <v>L</v>
      </c>
      <c r="T251" s="90" t="str">
        <f>MID(VLOOKUP($A251,Seqs!$A:$B,2,FALSE),VLOOKUP($A251,'NonXtal_SegEnds_Prot#'!A:AL,10,FALSE)+7,1)</f>
        <v>V</v>
      </c>
      <c r="U251" s="90" t="str">
        <f>MID(VLOOKUP($A251,Seqs!$A:$B,2,FALSE),VLOOKUP($A251,'NonXtal_SegEnds_Prot#'!A:AL,10,FALSE)+8,1)</f>
        <v>A</v>
      </c>
      <c r="V251" s="90" t="str">
        <f>MID(VLOOKUP($A251,Seqs!$A:$B,2,FALSE),VLOOKUP($A251,'NonXtal_SegEnds_Prot#'!A:AL,10,FALSE)+9,1)</f>
        <v>P</v>
      </c>
      <c r="W251" s="64" t="str">
        <f>MID(VLOOKUP($A251,Seqs!$A:$B,2,FALSE),VLOOKUP($A251,'NonXtal_SegEnds_Prot#'!$A:$AL,22,FALSE)+6,1)</f>
        <v>Q</v>
      </c>
      <c r="X251" s="90" t="str">
        <f>MID(VLOOKUP($A251,Seqs!$A:$B,2,FALSE),VLOOKUP($A251,'NonXtal_SegEnds_Prot#'!$A:$AL,22,FALSE)+7,1)</f>
        <v>S</v>
      </c>
      <c r="Y251" s="90" t="str">
        <f>MID(VLOOKUP($A251,Seqs!$A:$B,2,FALSE),VLOOKUP($A251,'NonXtal_SegEnds_Prot#'!$A:$AL,22,FALSE)+8,1)</f>
        <v>T</v>
      </c>
      <c r="Z251" s="90" t="str">
        <f>MID(VLOOKUP($A251,Seqs!$A:$B,2,FALSE),VLOOKUP($A251,'NonXtal_SegEnds_Prot#'!$A:$AL,22,FALSE)+9,1)</f>
        <v>P</v>
      </c>
      <c r="AA251" s="90" t="str">
        <f>MID(VLOOKUP($A251,Seqs!$A:$B,2,FALSE),VLOOKUP($A251,'NonXtal_SegEnds_Prot#'!$A:$AL,22,FALSE)+10,1)</f>
        <v>P</v>
      </c>
      <c r="AB251" s="64" t="str">
        <f>MID(VLOOKUP($A251,Seqs!$A:$B,2,FALSE),VLOOKUP($A251,'NonXtal_SegEnds_Prot#'!$A:$AL,28,FALSE)-4,1)</f>
        <v>F</v>
      </c>
      <c r="AC251" s="90" t="str">
        <f>MID(VLOOKUP($A251,Seqs!$A:$B,2,FALSE),VLOOKUP($A251,'NonXtal_SegEnds_Prot#'!$A:$AL,28,FALSE),1)</f>
        <v>P</v>
      </c>
    </row>
    <row r="252" spans="1:29" s="2" customFormat="1" x14ac:dyDescent="0.2">
      <c r="A252" s="2" t="s">
        <v>412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64" t="str">
        <f>MID(VLOOKUP($A252,Seqs!$A:$B,2,FALSE),VLOOKUP($A252,'NonXtal_SegEnds_Prot#'!A:AL,10,FALSE),1)</f>
        <v>A</v>
      </c>
      <c r="S252" s="90" t="str">
        <f>MID(VLOOKUP($A252,Seqs!$A:$B,2,FALSE),VLOOKUP($A252,'NonXtal_SegEnds_Prot#'!A:AL,10,FALSE)+6,1)</f>
        <v>L</v>
      </c>
      <c r="T252" s="90" t="str">
        <f>MID(VLOOKUP($A252,Seqs!$A:$B,2,FALSE),VLOOKUP($A252,'NonXtal_SegEnds_Prot#'!A:AL,10,FALSE)+7,1)</f>
        <v>L</v>
      </c>
      <c r="U252" s="90" t="str">
        <f>MID(VLOOKUP($A252,Seqs!$A:$B,2,FALSE),VLOOKUP($A252,'NonXtal_SegEnds_Prot#'!A:AL,10,FALSE)+8,1)</f>
        <v>G</v>
      </c>
      <c r="V252" s="90" t="str">
        <f>MID(VLOOKUP($A252,Seqs!$A:$B,2,FALSE),VLOOKUP($A252,'NonXtal_SegEnds_Prot#'!A:AL,10,FALSE)+9,1)</f>
        <v>P</v>
      </c>
      <c r="W252" s="64" t="str">
        <f>MID(VLOOKUP($A252,Seqs!$A:$B,2,FALSE),VLOOKUP($A252,'NonXtal_SegEnds_Prot#'!$A:$AL,22,FALSE)+6,1)</f>
        <v>T</v>
      </c>
      <c r="X252" s="90" t="str">
        <f>MID(VLOOKUP($A252,Seqs!$A:$B,2,FALSE),VLOOKUP($A252,'NonXtal_SegEnds_Prot#'!$A:$AL,22,FALSE)+7,1)</f>
        <v>S</v>
      </c>
      <c r="Y252" s="90" t="str">
        <f>MID(VLOOKUP($A252,Seqs!$A:$B,2,FALSE),VLOOKUP($A252,'NonXtal_SegEnds_Prot#'!$A:$AL,22,FALSE)+8,1)</f>
        <v>F</v>
      </c>
      <c r="Z252" s="90" t="str">
        <f>MID(VLOOKUP($A252,Seqs!$A:$B,2,FALSE),VLOOKUP($A252,'NonXtal_SegEnds_Prot#'!$A:$AL,22,FALSE)+9,1)</f>
        <v>S</v>
      </c>
      <c r="AA252" s="90" t="str">
        <f>MID(VLOOKUP($A252,Seqs!$A:$B,2,FALSE),VLOOKUP($A252,'NonXtal_SegEnds_Prot#'!$A:$AL,22,FALSE)+10,1)</f>
        <v>S</v>
      </c>
      <c r="AB252" s="64" t="str">
        <f>MID(VLOOKUP($A252,Seqs!$A:$B,2,FALSE),VLOOKUP($A252,'NonXtal_SegEnds_Prot#'!$A:$AL,28,FALSE)-4,1)</f>
        <v>G</v>
      </c>
      <c r="AC252" s="90" t="str">
        <f>MID(VLOOKUP($A252,Seqs!$A:$B,2,FALSE),VLOOKUP($A252,'NonXtal_SegEnds_Prot#'!$A:$AL,28,FALSE),1)</f>
        <v>P</v>
      </c>
    </row>
    <row r="253" spans="1:29" s="2" customFormat="1" x14ac:dyDescent="0.2">
      <c r="A253" s="2" t="s">
        <v>414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64" t="str">
        <f>MID(VLOOKUP($A253,Seqs!$A:$B,2,FALSE),VLOOKUP($A253,'NonXtal_SegEnds_Prot#'!A:AL,10,FALSE),1)</f>
        <v>Q</v>
      </c>
      <c r="S253" s="90" t="str">
        <f>MID(VLOOKUP($A253,Seqs!$A:$B,2,FALSE),VLOOKUP($A253,'NonXtal_SegEnds_Prot#'!A:AL,10,FALSE)+6,1)</f>
        <v>S</v>
      </c>
      <c r="T253" s="90" t="str">
        <f>MID(VLOOKUP($A253,Seqs!$A:$B,2,FALSE),VLOOKUP($A253,'NonXtal_SegEnds_Prot#'!A:AL,10,FALSE)+7,1)</f>
        <v>M</v>
      </c>
      <c r="U253" s="90" t="str">
        <f>MID(VLOOKUP($A253,Seqs!$A:$B,2,FALSE),VLOOKUP($A253,'NonXtal_SegEnds_Prot#'!A:AL,10,FALSE)+8,1)</f>
        <v>L</v>
      </c>
      <c r="V253" s="90" t="str">
        <f>MID(VLOOKUP($A253,Seqs!$A:$B,2,FALSE),VLOOKUP($A253,'NonXtal_SegEnds_Prot#'!A:AL,10,FALSE)+9,1)</f>
        <v>V</v>
      </c>
      <c r="W253" s="64" t="str">
        <f>MID(VLOOKUP($A253,Seqs!$A:$B,2,FALSE),VLOOKUP($A253,'NonXtal_SegEnds_Prot#'!$A:$AL,22,FALSE)+6,1)</f>
        <v>L</v>
      </c>
      <c r="X253" s="90" t="str">
        <f>MID(VLOOKUP($A253,Seqs!$A:$B,2,FALSE),VLOOKUP($A253,'NonXtal_SegEnds_Prot#'!$A:$AL,22,FALSE)+7,1)</f>
        <v>S</v>
      </c>
      <c r="Y253" s="90" t="str">
        <f>MID(VLOOKUP($A253,Seqs!$A:$B,2,FALSE),VLOOKUP($A253,'NonXtal_SegEnds_Prot#'!$A:$AL,22,FALSE)+8,1)</f>
        <v>A</v>
      </c>
      <c r="Z253" s="90" t="str">
        <f>MID(VLOOKUP($A253,Seqs!$A:$B,2,FALSE),VLOOKUP($A253,'NonXtal_SegEnds_Prot#'!$A:$AL,22,FALSE)+9,1)</f>
        <v>L</v>
      </c>
      <c r="AA253" s="90" t="str">
        <f>MID(VLOOKUP($A253,Seqs!$A:$B,2,FALSE),VLOOKUP($A253,'NonXtal_SegEnds_Prot#'!$A:$AL,22,FALSE)+10,1)</f>
        <v>P</v>
      </c>
      <c r="AB253" s="64" t="str">
        <f>MID(VLOOKUP($A253,Seqs!$A:$B,2,FALSE),VLOOKUP($A253,'NonXtal_SegEnds_Prot#'!$A:$AL,28,FALSE)-4,1)</f>
        <v>G</v>
      </c>
      <c r="AC253" s="90" t="str">
        <f>MID(VLOOKUP($A253,Seqs!$A:$B,2,FALSE),VLOOKUP($A253,'NonXtal_SegEnds_Prot#'!$A:$AL,28,FALSE),1)</f>
        <v>P</v>
      </c>
    </row>
    <row r="254" spans="1:29" s="2" customFormat="1" x14ac:dyDescent="0.2">
      <c r="A254" s="2" t="s">
        <v>418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64" t="str">
        <f>MID(VLOOKUP($A254,Seqs!$A:$B,2,FALSE),VLOOKUP($A254,'NonXtal_SegEnds_Prot#'!A:AL,10,FALSE),1)</f>
        <v>H</v>
      </c>
      <c r="S254" s="90" t="str">
        <f>MID(VLOOKUP($A254,Seqs!$A:$B,2,FALSE),VLOOKUP($A254,'NonXtal_SegEnds_Prot#'!A:AL,10,FALSE)+6,1)</f>
        <v>V</v>
      </c>
      <c r="T254" s="90" t="str">
        <f>MID(VLOOKUP($A254,Seqs!$A:$B,2,FALSE),VLOOKUP($A254,'NonXtal_SegEnds_Prot#'!A:AL,10,FALSE)+7,1)</f>
        <v>P</v>
      </c>
      <c r="U254" s="90" t="str">
        <f>MID(VLOOKUP($A254,Seqs!$A:$B,2,FALSE),VLOOKUP($A254,'NonXtal_SegEnds_Prot#'!A:AL,10,FALSE)+8,1)</f>
        <v>I</v>
      </c>
      <c r="V254" s="90" t="str">
        <f>MID(VLOOKUP($A254,Seqs!$A:$B,2,FALSE),VLOOKUP($A254,'NonXtal_SegEnds_Prot#'!A:AL,10,FALSE)+9,1)</f>
        <v>A</v>
      </c>
      <c r="W254" s="64" t="str">
        <f>MID(VLOOKUP($A254,Seqs!$A:$B,2,FALSE),VLOOKUP($A254,'NonXtal_SegEnds_Prot#'!$A:$AL,22,FALSE)+6,1)</f>
        <v>L</v>
      </c>
      <c r="X254" s="90" t="str">
        <f>MID(VLOOKUP($A254,Seqs!$A:$B,2,FALSE),VLOOKUP($A254,'NonXtal_SegEnds_Prot#'!$A:$AL,22,FALSE)+7,1)</f>
        <v>S</v>
      </c>
      <c r="Y254" s="90" t="str">
        <f>MID(VLOOKUP($A254,Seqs!$A:$B,2,FALSE),VLOOKUP($A254,'NonXtal_SegEnds_Prot#'!$A:$AL,22,FALSE)+8,1)</f>
        <v>A</v>
      </c>
      <c r="Z254" s="90" t="str">
        <f>MID(VLOOKUP($A254,Seqs!$A:$B,2,FALSE),VLOOKUP($A254,'NonXtal_SegEnds_Prot#'!$A:$AL,22,FALSE)+9,1)</f>
        <v>L</v>
      </c>
      <c r="AA254" s="90" t="str">
        <f>MID(VLOOKUP($A254,Seqs!$A:$B,2,FALSE),VLOOKUP($A254,'NonXtal_SegEnds_Prot#'!$A:$AL,22,FALSE)+10,1)</f>
        <v>P</v>
      </c>
      <c r="AB254" s="64" t="str">
        <f>MID(VLOOKUP($A254,Seqs!$A:$B,2,FALSE),VLOOKUP($A254,'NonXtal_SegEnds_Prot#'!$A:$AL,28,FALSE)-4,1)</f>
        <v>V</v>
      </c>
      <c r="AC254" s="90" t="str">
        <f>MID(VLOOKUP($A254,Seqs!$A:$B,2,FALSE),VLOOKUP($A254,'NonXtal_SegEnds_Prot#'!$A:$AL,28,FALSE),1)</f>
        <v>V</v>
      </c>
    </row>
    <row r="255" spans="1:29" s="2" customFormat="1" x14ac:dyDescent="0.2">
      <c r="A255" s="2" t="s">
        <v>421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64" t="str">
        <f>MID(VLOOKUP($A255,Seqs!$A:$B,2,FALSE),VLOOKUP($A255,'NonXtal_SegEnds_Prot#'!A:AL,10,FALSE),1)</f>
        <v>H</v>
      </c>
      <c r="S255" s="90" t="str">
        <f>MID(VLOOKUP($A255,Seqs!$A:$B,2,FALSE),VLOOKUP($A255,'NonXtal_SegEnds_Prot#'!A:AL,10,FALSE)+6,1)</f>
        <v>V</v>
      </c>
      <c r="T255" s="90" t="str">
        <f>MID(VLOOKUP($A255,Seqs!$A:$B,2,FALSE),VLOOKUP($A255,'NonXtal_SegEnds_Prot#'!A:AL,10,FALSE)+7,1)</f>
        <v>P</v>
      </c>
      <c r="U255" s="90" t="str">
        <f>MID(VLOOKUP($A255,Seqs!$A:$B,2,FALSE),VLOOKUP($A255,'NonXtal_SegEnds_Prot#'!A:AL,10,FALSE)+8,1)</f>
        <v>L</v>
      </c>
      <c r="V255" s="90" t="str">
        <f>MID(VLOOKUP($A255,Seqs!$A:$B,2,FALSE),VLOOKUP($A255,'NonXtal_SegEnds_Prot#'!A:AL,10,FALSE)+9,1)</f>
        <v>T</v>
      </c>
      <c r="W255" s="64" t="str">
        <f>MID(VLOOKUP($A255,Seqs!$A:$B,2,FALSE),VLOOKUP($A255,'NonXtal_SegEnds_Prot#'!$A:$AL,22,FALSE)+6,1)</f>
        <v>L</v>
      </c>
      <c r="X255" s="90" t="str">
        <f>MID(VLOOKUP($A255,Seqs!$A:$B,2,FALSE),VLOOKUP($A255,'NonXtal_SegEnds_Prot#'!$A:$AL,22,FALSE)+7,1)</f>
        <v>S</v>
      </c>
      <c r="Y255" s="90" t="str">
        <f>MID(VLOOKUP($A255,Seqs!$A:$B,2,FALSE),VLOOKUP($A255,'NonXtal_SegEnds_Prot#'!$A:$AL,22,FALSE)+8,1)</f>
        <v>T</v>
      </c>
      <c r="Z255" s="90" t="str">
        <f>MID(VLOOKUP($A255,Seqs!$A:$B,2,FALSE),VLOOKUP($A255,'NonXtal_SegEnds_Prot#'!$A:$AL,22,FALSE)+9,1)</f>
        <v>L</v>
      </c>
      <c r="AA255" s="90" t="str">
        <f>MID(VLOOKUP($A255,Seqs!$A:$B,2,FALSE),VLOOKUP($A255,'NonXtal_SegEnds_Prot#'!$A:$AL,22,FALSE)+10,1)</f>
        <v>P</v>
      </c>
      <c r="AB255" s="64" t="str">
        <f>MID(VLOOKUP($A255,Seqs!$A:$B,2,FALSE),VLOOKUP($A255,'NonXtal_SegEnds_Prot#'!$A:$AL,28,FALSE)-4,1)</f>
        <v>L</v>
      </c>
      <c r="AC255" s="90" t="str">
        <f>MID(VLOOKUP($A255,Seqs!$A:$B,2,FALSE),VLOOKUP($A255,'NonXtal_SegEnds_Prot#'!$A:$AL,28,FALSE),1)</f>
        <v>I</v>
      </c>
    </row>
    <row r="256" spans="1:29" s="2" customFormat="1" x14ac:dyDescent="0.2">
      <c r="A256" s="2" t="s">
        <v>460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64" t="str">
        <f>MID(VLOOKUP($A256,Seqs!$A:$B,2,FALSE),VLOOKUP($A256,'NonXtal_SegEnds_Prot#'!A:AL,10,FALSE),1)</f>
        <v>H</v>
      </c>
      <c r="S256" s="90" t="str">
        <f>MID(VLOOKUP($A256,Seqs!$A:$B,2,FALSE),VLOOKUP($A256,'NonXtal_SegEnds_Prot#'!A:AL,10,FALSE)+6,1)</f>
        <v>L</v>
      </c>
      <c r="T256" s="90" t="str">
        <f>MID(VLOOKUP($A256,Seqs!$A:$B,2,FALSE),VLOOKUP($A256,'NonXtal_SegEnds_Prot#'!A:AL,10,FALSE)+7,1)</f>
        <v>D</v>
      </c>
      <c r="U256" s="90" t="str">
        <f>MID(VLOOKUP($A256,Seqs!$A:$B,2,FALSE),VLOOKUP($A256,'NonXtal_SegEnds_Prot#'!A:AL,10,FALSE)+8,1)</f>
        <v>M</v>
      </c>
      <c r="V256" s="90" t="str">
        <f>MID(VLOOKUP($A256,Seqs!$A:$B,2,FALSE),VLOOKUP($A256,'NonXtal_SegEnds_Prot#'!A:AL,10,FALSE)+9,1)</f>
        <v>P</v>
      </c>
      <c r="W256" s="64" t="str">
        <f>MID(VLOOKUP($A256,Seqs!$A:$B,2,FALSE),VLOOKUP($A256,'NonXtal_SegEnds_Prot#'!$A:$AL,22,FALSE)+6,1)</f>
        <v>F</v>
      </c>
      <c r="X256" s="90" t="str">
        <f>MID(VLOOKUP($A256,Seqs!$A:$B,2,FALSE),VLOOKUP($A256,'NonXtal_SegEnds_Prot#'!$A:$AL,22,FALSE)+7,1)</f>
        <v>S</v>
      </c>
      <c r="Y256" s="90" t="str">
        <f>MID(VLOOKUP($A256,Seqs!$A:$B,2,FALSE),VLOOKUP($A256,'NonXtal_SegEnds_Prot#'!$A:$AL,22,FALSE)+8,1)</f>
        <v>G</v>
      </c>
      <c r="Z256" s="90" t="str">
        <f>MID(VLOOKUP($A256,Seqs!$A:$B,2,FALSE),VLOOKUP($A256,'NonXtal_SegEnds_Prot#'!$A:$AL,22,FALSE)+9,1)</f>
        <v>A</v>
      </c>
      <c r="AA256" s="90" t="str">
        <f>MID(VLOOKUP($A256,Seqs!$A:$B,2,FALSE),VLOOKUP($A256,'NonXtal_SegEnds_Prot#'!$A:$AL,22,FALSE)+10,1)</f>
        <v>A</v>
      </c>
      <c r="AB256" s="64" t="str">
        <f>MID(VLOOKUP($A256,Seqs!$A:$B,2,FALSE),VLOOKUP($A256,'NonXtal_SegEnds_Prot#'!$A:$AL,28,FALSE)-4,1)</f>
        <v>G</v>
      </c>
      <c r="AC256" s="90" t="str">
        <f>MID(VLOOKUP($A256,Seqs!$A:$B,2,FALSE),VLOOKUP($A256,'NonXtal_SegEnds_Prot#'!$A:$AL,28,FALSE),1)</f>
        <v>P</v>
      </c>
    </row>
    <row r="257" spans="1:29" s="2" customFormat="1" x14ac:dyDescent="0.2">
      <c r="A257" s="2" t="s">
        <v>472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64" t="str">
        <f>MID(VLOOKUP($A257,Seqs!$A:$B,2,FALSE),VLOOKUP($A257,'NonXtal_SegEnds_Prot#'!A:AL,10,FALSE),1)</f>
        <v>D</v>
      </c>
      <c r="S257" s="90" t="str">
        <f>MID(VLOOKUP($A257,Seqs!$A:$B,2,FALSE),VLOOKUP($A257,'NonXtal_SegEnds_Prot#'!A:AL,10,FALSE)+6,1)</f>
        <v>L</v>
      </c>
      <c r="T257" s="90" t="str">
        <f>MID(VLOOKUP($A257,Seqs!$A:$B,2,FALSE),VLOOKUP($A257,'NonXtal_SegEnds_Prot#'!A:AL,10,FALSE)+7,1)</f>
        <v>V</v>
      </c>
      <c r="U257" s="90" t="str">
        <f>MID(VLOOKUP($A257,Seqs!$A:$B,2,FALSE),VLOOKUP($A257,'NonXtal_SegEnds_Prot#'!A:AL,10,FALSE)+8,1)</f>
        <v>L</v>
      </c>
      <c r="V257" s="90" t="str">
        <f>MID(VLOOKUP($A257,Seqs!$A:$B,2,FALSE),VLOOKUP($A257,'NonXtal_SegEnds_Prot#'!A:AL,10,FALSE)+9,1)</f>
        <v>P</v>
      </c>
      <c r="W257" s="64" t="str">
        <f>MID(VLOOKUP($A257,Seqs!$A:$B,2,FALSE),VLOOKUP($A257,'NonXtal_SegEnds_Prot#'!$A:$AL,22,FALSE)+6,1)</f>
        <v>L</v>
      </c>
      <c r="X257" s="90" t="str">
        <f>MID(VLOOKUP($A257,Seqs!$A:$B,2,FALSE),VLOOKUP($A257,'NonXtal_SegEnds_Prot#'!$A:$AL,22,FALSE)+7,1)</f>
        <v>S</v>
      </c>
      <c r="Y257" s="90" t="str">
        <f>MID(VLOOKUP($A257,Seqs!$A:$B,2,FALSE),VLOOKUP($A257,'NonXtal_SegEnds_Prot#'!$A:$AL,22,FALSE)+8,1)</f>
        <v>F</v>
      </c>
      <c r="Z257" s="90" t="str">
        <f>MID(VLOOKUP($A257,Seqs!$A:$B,2,FALSE),VLOOKUP($A257,'NonXtal_SegEnds_Prot#'!$A:$AL,22,FALSE)+9,1)</f>
        <v>L</v>
      </c>
      <c r="AA257" s="90" t="str">
        <f>MID(VLOOKUP($A257,Seqs!$A:$B,2,FALSE),VLOOKUP($A257,'NonXtal_SegEnds_Prot#'!$A:$AL,22,FALSE)+10,1)</f>
        <v>S</v>
      </c>
      <c r="AB257" s="64" t="str">
        <f>MID(VLOOKUP($A257,Seqs!$A:$B,2,FALSE),VLOOKUP($A257,'NonXtal_SegEnds_Prot#'!$A:$AL,28,FALSE)-4,1)</f>
        <v>T</v>
      </c>
      <c r="AC257" s="90" t="str">
        <f>MID(VLOOKUP($A257,Seqs!$A:$B,2,FALSE),VLOOKUP($A257,'NonXtal_SegEnds_Prot#'!$A:$AL,28,FALSE),1)</f>
        <v>P</v>
      </c>
    </row>
    <row r="258" spans="1:29" s="2" customFormat="1" x14ac:dyDescent="0.2">
      <c r="A258" s="2" t="s">
        <v>498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64" t="str">
        <f>MID(VLOOKUP($A258,Seqs!$A:$B,2,FALSE),VLOOKUP($A258,'NonXtal_SegEnds_Prot#'!A:AL,10,FALSE),1)</f>
        <v>D</v>
      </c>
      <c r="S258" s="90" t="str">
        <f>MID(VLOOKUP($A258,Seqs!$A:$B,2,FALSE),VLOOKUP($A258,'NonXtal_SegEnds_Prot#'!A:AL,10,FALSE)+6,1)</f>
        <v>G</v>
      </c>
      <c r="T258" s="90" t="str">
        <f>MID(VLOOKUP($A258,Seqs!$A:$B,2,FALSE),VLOOKUP($A258,'NonXtal_SegEnds_Prot#'!A:AL,10,FALSE)+7,1)</f>
        <v>R</v>
      </c>
      <c r="U258" s="90" t="str">
        <f>MID(VLOOKUP($A258,Seqs!$A:$B,2,FALSE),VLOOKUP($A258,'NonXtal_SegEnds_Prot#'!A:AL,10,FALSE)+8,1)</f>
        <v>L</v>
      </c>
      <c r="V258" s="90" t="str">
        <f>MID(VLOOKUP($A258,Seqs!$A:$B,2,FALSE),VLOOKUP($A258,'NonXtal_SegEnds_Prot#'!A:AL,10,FALSE)+9,1)</f>
        <v>I</v>
      </c>
      <c r="W258" s="64" t="str">
        <f>MID(VLOOKUP($A258,Seqs!$A:$B,2,FALSE),VLOOKUP($A258,'NonXtal_SegEnds_Prot#'!$A:$AL,22,FALSE)+6,1)</f>
        <v>R</v>
      </c>
      <c r="X258" s="90" t="str">
        <f>MID(VLOOKUP($A258,Seqs!$A:$B,2,FALSE),VLOOKUP($A258,'NonXtal_SegEnds_Prot#'!$A:$AL,22,FALSE)+7,1)</f>
        <v>S</v>
      </c>
      <c r="Y258" s="90" t="str">
        <f>MID(VLOOKUP($A258,Seqs!$A:$B,2,FALSE),VLOOKUP($A258,'NonXtal_SegEnds_Prot#'!$A:$AL,22,FALSE)+8,1)</f>
        <v>I</v>
      </c>
      <c r="Z258" s="90" t="str">
        <f>MID(VLOOKUP($A258,Seqs!$A:$B,2,FALSE),VLOOKUP($A258,'NonXtal_SegEnds_Prot#'!$A:$AL,22,FALSE)+9,1)</f>
        <v>L</v>
      </c>
      <c r="AA258" s="90" t="str">
        <f>MID(VLOOKUP($A258,Seqs!$A:$B,2,FALSE),VLOOKUP($A258,'NonXtal_SegEnds_Prot#'!$A:$AL,22,FALSE)+10,1)</f>
        <v>E</v>
      </c>
      <c r="AB258" s="64" t="str">
        <f>MID(VLOOKUP($A258,Seqs!$A:$B,2,FALSE),VLOOKUP($A258,'NonXtal_SegEnds_Prot#'!$A:$AL,28,FALSE)-4,1)</f>
        <v>I</v>
      </c>
      <c r="AC258" s="90" t="str">
        <f>MID(VLOOKUP($A258,Seqs!$A:$B,2,FALSE),VLOOKUP($A258,'NonXtal_SegEnds_Prot#'!$A:$AL,28,FALSE),1)</f>
        <v>V</v>
      </c>
    </row>
    <row r="259" spans="1:29" s="2" customFormat="1" x14ac:dyDescent="0.2">
      <c r="A259" s="2" t="s">
        <v>499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64" t="str">
        <f>MID(VLOOKUP($A259,Seqs!$A:$B,2,FALSE),VLOOKUP($A259,'NonXtal_SegEnds_Prot#'!A:AL,10,FALSE),1)</f>
        <v>D</v>
      </c>
      <c r="S259" s="90" t="str">
        <f>MID(VLOOKUP($A259,Seqs!$A:$B,2,FALSE),VLOOKUP($A259,'NonXtal_SegEnds_Prot#'!A:AL,10,FALSE)+6,1)</f>
        <v>F</v>
      </c>
      <c r="T259" s="90" t="str">
        <f>MID(VLOOKUP($A259,Seqs!$A:$B,2,FALSE),VLOOKUP($A259,'NonXtal_SegEnds_Prot#'!A:AL,10,FALSE)+7,1)</f>
        <v>Q</v>
      </c>
      <c r="U259" s="90" t="str">
        <f>MID(VLOOKUP($A259,Seqs!$A:$B,2,FALSE),VLOOKUP($A259,'NonXtal_SegEnds_Prot#'!A:AL,10,FALSE)+8,1)</f>
        <v>I</v>
      </c>
      <c r="V259" s="90" t="str">
        <f>MID(VLOOKUP($A259,Seqs!$A:$B,2,FALSE),VLOOKUP($A259,'NonXtal_SegEnds_Prot#'!A:AL,10,FALSE)+9,1)</f>
        <v>I</v>
      </c>
      <c r="W259" s="64" t="str">
        <f>MID(VLOOKUP($A259,Seqs!$A:$B,2,FALSE),VLOOKUP($A259,'NonXtal_SegEnds_Prot#'!$A:$AL,22,FALSE)+6,1)</f>
        <v>L</v>
      </c>
      <c r="X259" s="90" t="str">
        <f>MID(VLOOKUP($A259,Seqs!$A:$B,2,FALSE),VLOOKUP($A259,'NonXtal_SegEnds_Prot#'!$A:$AL,22,FALSE)+7,1)</f>
        <v>S</v>
      </c>
      <c r="Y259" s="90" t="str">
        <f>MID(VLOOKUP($A259,Seqs!$A:$B,2,FALSE),VLOOKUP($A259,'NonXtal_SegEnds_Prot#'!$A:$AL,22,FALSE)+8,1)</f>
        <v>I</v>
      </c>
      <c r="Z259" s="90" t="str">
        <f>MID(VLOOKUP($A259,Seqs!$A:$B,2,FALSE),VLOOKUP($A259,'NonXtal_SegEnds_Prot#'!$A:$AL,22,FALSE)+9,1)</f>
        <v>L</v>
      </c>
      <c r="AA259" s="90" t="str">
        <f>MID(VLOOKUP($A259,Seqs!$A:$B,2,FALSE),VLOOKUP($A259,'NonXtal_SegEnds_Prot#'!$A:$AL,22,FALSE)+10,1)</f>
        <v>E</v>
      </c>
      <c r="AB259" s="64" t="str">
        <f>MID(VLOOKUP($A259,Seqs!$A:$B,2,FALSE),VLOOKUP($A259,'NonXtal_SegEnds_Prot#'!$A:$AL,28,FALSE)-4,1)</f>
        <v>I</v>
      </c>
      <c r="AC259" s="90" t="str">
        <f>MID(VLOOKUP($A259,Seqs!$A:$B,2,FALSE),VLOOKUP($A259,'NonXtal_SegEnds_Prot#'!$A:$AL,28,FALSE),1)</f>
        <v>M</v>
      </c>
    </row>
    <row r="260" spans="1:29" s="2" customFormat="1" x14ac:dyDescent="0.2">
      <c r="A260" s="2" t="s">
        <v>500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64" t="str">
        <f>MID(VLOOKUP($A260,Seqs!$A:$B,2,FALSE),VLOOKUP($A260,'NonXtal_SegEnds_Prot#'!A:AL,10,FALSE),1)</f>
        <v>D</v>
      </c>
      <c r="S260" s="90" t="str">
        <f>MID(VLOOKUP($A260,Seqs!$A:$B,2,FALSE),VLOOKUP($A260,'NonXtal_SegEnds_Prot#'!A:AL,10,FALSE)+6,1)</f>
        <v>G</v>
      </c>
      <c r="T260" s="90" t="str">
        <f>MID(VLOOKUP($A260,Seqs!$A:$B,2,FALSE),VLOOKUP($A260,'NonXtal_SegEnds_Prot#'!A:AL,10,FALSE)+7,1)</f>
        <v>H</v>
      </c>
      <c r="U260" s="90" t="str">
        <f>MID(VLOOKUP($A260,Seqs!$A:$B,2,FALSE),VLOOKUP($A260,'NonXtal_SegEnds_Prot#'!A:AL,10,FALSE)+8,1)</f>
        <v>I</v>
      </c>
      <c r="V260" s="90" t="str">
        <f>MID(VLOOKUP($A260,Seqs!$A:$B,2,FALSE),VLOOKUP($A260,'NonXtal_SegEnds_Prot#'!A:AL,10,FALSE)+9,1)</f>
        <v>I</v>
      </c>
      <c r="W260" s="64" t="str">
        <f>MID(VLOOKUP($A260,Seqs!$A:$B,2,FALSE),VLOOKUP($A260,'NonXtal_SegEnds_Prot#'!$A:$AL,22,FALSE)+6,1)</f>
        <v>R</v>
      </c>
      <c r="X260" s="90" t="str">
        <f>MID(VLOOKUP($A260,Seqs!$A:$B,2,FALSE),VLOOKUP($A260,'NonXtal_SegEnds_Prot#'!$A:$AL,22,FALSE)+7,1)</f>
        <v>S</v>
      </c>
      <c r="Y260" s="90" t="str">
        <f>MID(VLOOKUP($A260,Seqs!$A:$B,2,FALSE),VLOOKUP($A260,'NonXtal_SegEnds_Prot#'!$A:$AL,22,FALSE)+8,1)</f>
        <v>I</v>
      </c>
      <c r="Z260" s="90" t="str">
        <f>MID(VLOOKUP($A260,Seqs!$A:$B,2,FALSE),VLOOKUP($A260,'NonXtal_SegEnds_Prot#'!$A:$AL,22,FALSE)+9,1)</f>
        <v>L</v>
      </c>
      <c r="AA260" s="90" t="str">
        <f>MID(VLOOKUP($A260,Seqs!$A:$B,2,FALSE),VLOOKUP($A260,'NonXtal_SegEnds_Prot#'!$A:$AL,22,FALSE)+10,1)</f>
        <v>E</v>
      </c>
      <c r="AB260" s="64" t="str">
        <f>MID(VLOOKUP($A260,Seqs!$A:$B,2,FALSE),VLOOKUP($A260,'NonXtal_SegEnds_Prot#'!$A:$AL,28,FALSE)-4,1)</f>
        <v>V</v>
      </c>
      <c r="AC260" s="90" t="str">
        <f>MID(VLOOKUP($A260,Seqs!$A:$B,2,FALSE),VLOOKUP($A260,'NonXtal_SegEnds_Prot#'!$A:$AL,28,FALSE),1)</f>
        <v>V</v>
      </c>
    </row>
    <row r="261" spans="1:29" s="2" customFormat="1" x14ac:dyDescent="0.2">
      <c r="A261" s="2" t="s">
        <v>501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64" t="str">
        <f>MID(VLOOKUP($A261,Seqs!$A:$B,2,FALSE),VLOOKUP($A261,'NonXtal_SegEnds_Prot#'!A:AL,10,FALSE),1)</f>
        <v>D</v>
      </c>
      <c r="S261" s="90" t="str">
        <f>MID(VLOOKUP($A261,Seqs!$A:$B,2,FALSE),VLOOKUP($A261,'NonXtal_SegEnds_Prot#'!A:AL,10,FALSE)+6,1)</f>
        <v>F</v>
      </c>
      <c r="T261" s="90" t="str">
        <f>MID(VLOOKUP($A261,Seqs!$A:$B,2,FALSE),VLOOKUP($A261,'NonXtal_SegEnds_Prot#'!A:AL,10,FALSE)+7,1)</f>
        <v>Q</v>
      </c>
      <c r="U261" s="90" t="str">
        <f>MID(VLOOKUP($A261,Seqs!$A:$B,2,FALSE),VLOOKUP($A261,'NonXtal_SegEnds_Prot#'!A:AL,10,FALSE)+8,1)</f>
        <v>I</v>
      </c>
      <c r="V261" s="90" t="str">
        <f>MID(VLOOKUP($A261,Seqs!$A:$B,2,FALSE),VLOOKUP($A261,'NonXtal_SegEnds_Prot#'!A:AL,10,FALSE)+9,1)</f>
        <v>I</v>
      </c>
      <c r="W261" s="64" t="str">
        <f>MID(VLOOKUP($A261,Seqs!$A:$B,2,FALSE),VLOOKUP($A261,'NonXtal_SegEnds_Prot#'!$A:$AL,22,FALSE)+6,1)</f>
        <v>F</v>
      </c>
      <c r="X261" s="90" t="str">
        <f>MID(VLOOKUP($A261,Seqs!$A:$B,2,FALSE),VLOOKUP($A261,'NonXtal_SegEnds_Prot#'!$A:$AL,22,FALSE)+7,1)</f>
        <v>S</v>
      </c>
      <c r="Y261" s="90" t="str">
        <f>MID(VLOOKUP($A261,Seqs!$A:$B,2,FALSE),VLOOKUP($A261,'NonXtal_SegEnds_Prot#'!$A:$AL,22,FALSE)+8,1)</f>
        <v>M</v>
      </c>
      <c r="Z261" s="90" t="str">
        <f>MID(VLOOKUP($A261,Seqs!$A:$B,2,FALSE),VLOOKUP($A261,'NonXtal_SegEnds_Prot#'!$A:$AL,22,FALSE)+9,1)</f>
        <v>L</v>
      </c>
      <c r="AA261" s="90" t="str">
        <f>MID(VLOOKUP($A261,Seqs!$A:$B,2,FALSE),VLOOKUP($A261,'NonXtal_SegEnds_Prot#'!$A:$AL,22,FALSE)+10,1)</f>
        <v>E</v>
      </c>
      <c r="AB261" s="64" t="str">
        <f>MID(VLOOKUP($A261,Seqs!$A:$B,2,FALSE),VLOOKUP($A261,'NonXtal_SegEnds_Prot#'!$A:$AL,28,FALSE)-4,1)</f>
        <v>I</v>
      </c>
      <c r="AC261" s="90" t="str">
        <f>MID(VLOOKUP($A261,Seqs!$A:$B,2,FALSE),VLOOKUP($A261,'NonXtal_SegEnds_Prot#'!$A:$AL,28,FALSE),1)</f>
        <v>V</v>
      </c>
    </row>
    <row r="262" spans="1:29" s="2" customFormat="1" x14ac:dyDescent="0.2">
      <c r="A262" s="2" t="s">
        <v>502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64" t="str">
        <f>MID(VLOOKUP($A262,Seqs!$A:$B,2,FALSE),VLOOKUP($A262,'NonXtal_SegEnds_Prot#'!A:AL,10,FALSE),1)</f>
        <v>D</v>
      </c>
      <c r="S262" s="90" t="str">
        <f>MID(VLOOKUP($A262,Seqs!$A:$B,2,FALSE),VLOOKUP($A262,'NonXtal_SegEnds_Prot#'!A:AL,10,FALSE)+6,1)</f>
        <v>S</v>
      </c>
      <c r="T262" s="90" t="str">
        <f>MID(VLOOKUP($A262,Seqs!$A:$B,2,FALSE),VLOOKUP($A262,'NonXtal_SegEnds_Prot#'!A:AL,10,FALSE)+7,1)</f>
        <v>N</v>
      </c>
      <c r="U262" s="90" t="str">
        <f>MID(VLOOKUP($A262,Seqs!$A:$B,2,FALSE),VLOOKUP($A262,'NonXtal_SegEnds_Prot#'!A:AL,10,FALSE)+8,1)</f>
        <v>V</v>
      </c>
      <c r="V262" s="90" t="str">
        <f>MID(VLOOKUP($A262,Seqs!$A:$B,2,FALSE),VLOOKUP($A262,'NonXtal_SegEnds_Prot#'!A:AL,10,FALSE)+9,1)</f>
        <v>L</v>
      </c>
      <c r="W262" s="64" t="str">
        <f>MID(VLOOKUP($A262,Seqs!$A:$B,2,FALSE),VLOOKUP($A262,'NonXtal_SegEnds_Prot#'!$A:$AL,22,FALSE)+6,1)</f>
        <v>F</v>
      </c>
      <c r="X262" s="90" t="str">
        <f>MID(VLOOKUP($A262,Seqs!$A:$B,2,FALSE),VLOOKUP($A262,'NonXtal_SegEnds_Prot#'!$A:$AL,22,FALSE)+7,1)</f>
        <v>S</v>
      </c>
      <c r="Y262" s="90" t="str">
        <f>MID(VLOOKUP($A262,Seqs!$A:$B,2,FALSE),VLOOKUP($A262,'NonXtal_SegEnds_Prot#'!$A:$AL,22,FALSE)+8,1)</f>
        <v>T</v>
      </c>
      <c r="Z262" s="90" t="str">
        <f>MID(VLOOKUP($A262,Seqs!$A:$B,2,FALSE),VLOOKUP($A262,'NonXtal_SegEnds_Prot#'!$A:$AL,22,FALSE)+9,1)</f>
        <v>L</v>
      </c>
      <c r="AA262" s="90" t="str">
        <f>MID(VLOOKUP($A262,Seqs!$A:$B,2,FALSE),VLOOKUP($A262,'NonXtal_SegEnds_Prot#'!$A:$AL,22,FALSE)+10,1)</f>
        <v>F</v>
      </c>
      <c r="AB262" s="64" t="str">
        <f>MID(VLOOKUP($A262,Seqs!$A:$B,2,FALSE),VLOOKUP($A262,'NonXtal_SegEnds_Prot#'!$A:$AL,28,FALSE)-4,1)</f>
        <v>F</v>
      </c>
      <c r="AC262" s="90" t="str">
        <f>MID(VLOOKUP($A262,Seqs!$A:$B,2,FALSE),VLOOKUP($A262,'NonXtal_SegEnds_Prot#'!$A:$AL,28,FALSE),1)</f>
        <v>M</v>
      </c>
    </row>
    <row r="263" spans="1:29" s="2" customFormat="1" x14ac:dyDescent="0.2">
      <c r="A263" s="2" t="s">
        <v>524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64" t="str">
        <f>MID(VLOOKUP($A263,Seqs!$A:$B,2,FALSE),VLOOKUP($A263,'NonXtal_SegEnds_Prot#'!A:AL,10,FALSE),1)</f>
        <v>D</v>
      </c>
      <c r="S263" s="90" t="str">
        <f>MID(VLOOKUP($A263,Seqs!$A:$B,2,FALSE),VLOOKUP($A263,'NonXtal_SegEnds_Prot#'!A:AL,10,FALSE)+6,1)</f>
        <v>S</v>
      </c>
      <c r="T263" s="90" t="str">
        <f>MID(VLOOKUP($A263,Seqs!$A:$B,2,FALSE),VLOOKUP($A263,'NonXtal_SegEnds_Prot#'!A:AL,10,FALSE)+7,1)</f>
        <v>L</v>
      </c>
      <c r="U263" s="90" t="str">
        <f>MID(VLOOKUP($A263,Seqs!$A:$B,2,FALSE),VLOOKUP($A263,'NonXtal_SegEnds_Prot#'!A:AL,10,FALSE)+8,1)</f>
        <v>P</v>
      </c>
      <c r="V263" s="90" t="str">
        <f>MID(VLOOKUP($A263,Seqs!$A:$B,2,FALSE),VLOOKUP($A263,'NonXtal_SegEnds_Prot#'!A:AL,10,FALSE)+9,1)</f>
        <v>F</v>
      </c>
      <c r="W263" s="64" t="str">
        <f>MID(VLOOKUP($A263,Seqs!$A:$B,2,FALSE),VLOOKUP($A263,'NonXtal_SegEnds_Prot#'!$A:$AL,22,FALSE)+6,1)</f>
        <v>T</v>
      </c>
      <c r="X263" s="90" t="str">
        <f>MID(VLOOKUP($A263,Seqs!$A:$B,2,FALSE),VLOOKUP($A263,'NonXtal_SegEnds_Prot#'!$A:$AL,22,FALSE)+7,1)</f>
        <v>S</v>
      </c>
      <c r="Y263" s="90" t="str">
        <f>MID(VLOOKUP($A263,Seqs!$A:$B,2,FALSE),VLOOKUP($A263,'NonXtal_SegEnds_Prot#'!$A:$AL,22,FALSE)+8,1)</f>
        <v>I</v>
      </c>
      <c r="Z263" s="90" t="str">
        <f>MID(VLOOKUP($A263,Seqs!$A:$B,2,FALSE),VLOOKUP($A263,'NonXtal_SegEnds_Prot#'!$A:$AL,22,FALSE)+9,1)</f>
        <v>Y</v>
      </c>
      <c r="AA263" s="90" t="str">
        <f>MID(VLOOKUP($A263,Seqs!$A:$B,2,FALSE),VLOOKUP($A263,'NonXtal_SegEnds_Prot#'!$A:$AL,22,FALSE)+10,1)</f>
        <v>F</v>
      </c>
      <c r="AB263" s="64" t="str">
        <f>MID(VLOOKUP($A263,Seqs!$A:$B,2,FALSE),VLOOKUP($A263,'NonXtal_SegEnds_Prot#'!$A:$AL,28,FALSE)-4,1)</f>
        <v>G</v>
      </c>
      <c r="AC263" s="90" t="str">
        <f>MID(VLOOKUP($A263,Seqs!$A:$B,2,FALSE),VLOOKUP($A263,'NonXtal_SegEnds_Prot#'!$A:$AL,28,FALSE),1)</f>
        <v>P</v>
      </c>
    </row>
    <row r="264" spans="1:29" s="2" customFormat="1" x14ac:dyDescent="0.2">
      <c r="A264" s="2" t="s">
        <v>526</v>
      </c>
      <c r="B264" s="2" t="s">
        <v>1115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64" t="str">
        <f>MID(VLOOKUP($A264,Seqs!$A:$B,2,FALSE),VLOOKUP($A264,'NonXtal_SegEnds_Prot#'!A:AL,10,FALSE),1)</f>
        <v>D</v>
      </c>
      <c r="S264" s="90" t="str">
        <f>MID(VLOOKUP($A264,Seqs!$A:$B,2,FALSE),VLOOKUP($A264,'NonXtal_SegEnds_Prot#'!A:AL,10,FALSE)+6,1)</f>
        <v>T</v>
      </c>
      <c r="T264" s="90" t="str">
        <f>MID(VLOOKUP($A264,Seqs!$A:$B,2,FALSE),VLOOKUP($A264,'NonXtal_SegEnds_Prot#'!A:AL,10,FALSE)+7,1)</f>
        <v>Q</v>
      </c>
      <c r="U264" s="90" t="str">
        <f>MID(VLOOKUP($A264,Seqs!$A:$B,2,FALSE),VLOOKUP($A264,'NonXtal_SegEnds_Prot#'!A:AL,10,FALSE)+8,1)</f>
        <v>A</v>
      </c>
      <c r="V264" s="90" t="str">
        <f>MID(VLOOKUP($A264,Seqs!$A:$B,2,FALSE),VLOOKUP($A264,'NonXtal_SegEnds_Prot#'!A:AL,10,FALSE)+9,1)</f>
        <v>P</v>
      </c>
      <c r="W264" s="64" t="str">
        <f>MID(VLOOKUP($A264,Seqs!$A:$B,2,FALSE),VLOOKUP($A264,'NonXtal_SegEnds_Prot#'!$A:$AL,22,FALSE)+6,1)</f>
        <v>W</v>
      </c>
      <c r="X264" s="90" t="str">
        <f>MID(VLOOKUP($A264,Seqs!$A:$B,2,FALSE),VLOOKUP($A264,'NonXtal_SegEnds_Prot#'!$A:$AL,22,FALSE)+7,1)</f>
        <v>S</v>
      </c>
      <c r="Y264" s="90" t="str">
        <f>MID(VLOOKUP($A264,Seqs!$A:$B,2,FALSE),VLOOKUP($A264,'NonXtal_SegEnds_Prot#'!$A:$AL,22,FALSE)+8,1)</f>
        <v>L</v>
      </c>
      <c r="Z264" s="90" t="str">
        <f>MID(VLOOKUP($A264,Seqs!$A:$B,2,FALSE),VLOOKUP($A264,'NonXtal_SegEnds_Prot#'!$A:$AL,22,FALSE)+9,1)</f>
        <v>P</v>
      </c>
      <c r="AA264" s="90" t="str">
        <f>MID(VLOOKUP($A264,Seqs!$A:$B,2,FALSE),VLOOKUP($A264,'NonXtal_SegEnds_Prot#'!$A:$AL,22,FALSE)+10,1)</f>
        <v>P</v>
      </c>
      <c r="AB264" s="64" t="str">
        <f>MID(VLOOKUP($A264,Seqs!$A:$B,2,FALSE),VLOOKUP($A264,'NonXtal_SegEnds_Prot#'!$A:$AL,28,FALSE)-4,1)</f>
        <v>V</v>
      </c>
      <c r="AC264" s="90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531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64" t="str">
        <f>MID(VLOOKUP($A265,Seqs!$A:$B,2,FALSE),VLOOKUP($A265,'NonXtal_SegEnds_Prot#'!A:AL,10,FALSE),1)</f>
        <v>G</v>
      </c>
      <c r="S265" s="90" t="str">
        <f>MID(VLOOKUP($A265,Seqs!$A:$B,2,FALSE),VLOOKUP($A265,'NonXtal_SegEnds_Prot#'!A:AL,10,FALSE)+6,1)</f>
        <v>F</v>
      </c>
      <c r="T265" s="90" t="str">
        <f>MID(VLOOKUP($A265,Seqs!$A:$B,2,FALSE),VLOOKUP($A265,'NonXtal_SegEnds_Prot#'!A:AL,10,FALSE)+7,1)</f>
        <v>S</v>
      </c>
      <c r="U265" s="90" t="str">
        <f>MID(VLOOKUP($A265,Seqs!$A:$B,2,FALSE),VLOOKUP($A265,'NonXtal_SegEnds_Prot#'!A:AL,10,FALSE)+8,1)</f>
        <v>V</v>
      </c>
      <c r="V265" s="90" t="str">
        <f>MID(VLOOKUP($A265,Seqs!$A:$B,2,FALSE),VLOOKUP($A265,'NonXtal_SegEnds_Prot#'!A:AL,10,FALSE)+9,1)</f>
        <v>F</v>
      </c>
      <c r="W265" s="64" t="str">
        <f>MID(VLOOKUP($A265,Seqs!$A:$B,2,FALSE),VLOOKUP($A265,'NonXtal_SegEnds_Prot#'!$A:$AL,22,FALSE)+6,1)</f>
        <v>V</v>
      </c>
      <c r="X265" s="90" t="str">
        <f>MID(VLOOKUP($A265,Seqs!$A:$B,2,FALSE),VLOOKUP($A265,'NonXtal_SegEnds_Prot#'!$A:$AL,22,FALSE)+7,1)</f>
        <v>S</v>
      </c>
      <c r="Y265" s="90" t="str">
        <f>MID(VLOOKUP($A265,Seqs!$A:$B,2,FALSE),VLOOKUP($A265,'NonXtal_SegEnds_Prot#'!$A:$AL,22,FALSE)+8,1)</f>
        <v>I</v>
      </c>
      <c r="Z265" s="90" t="str">
        <f>MID(VLOOKUP($A265,Seqs!$A:$B,2,FALSE),VLOOKUP($A265,'NonXtal_SegEnds_Prot#'!$A:$AL,22,FALSE)+9,1)</f>
        <v>P</v>
      </c>
      <c r="AA265" s="90" t="str">
        <f>MID(VLOOKUP($A265,Seqs!$A:$B,2,FALSE),VLOOKUP($A265,'NonXtal_SegEnds_Prot#'!$A:$AL,22,FALSE)+10,1)</f>
        <v>P</v>
      </c>
      <c r="AB265" s="64" t="str">
        <f>MID(VLOOKUP($A265,Seqs!$A:$B,2,FALSE),VLOOKUP($A265,'NonXtal_SegEnds_Prot#'!$A:$AL,28,FALSE)-4,1)</f>
        <v>C</v>
      </c>
      <c r="AC265" s="90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545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1553</v>
      </c>
      <c r="P266" s="4" t="s">
        <v>51</v>
      </c>
      <c r="R266" s="64" t="str">
        <f>MID(VLOOKUP($A266,Seqs!$A:$B,2,FALSE),VLOOKUP($A266,'NonXtal_SegEnds_Prot#'!A:AL,10,FALSE),1)</f>
        <v>D</v>
      </c>
      <c r="S266" s="90" t="str">
        <f>MID(VLOOKUP($A266,Seqs!$A:$B,2,FALSE),VLOOKUP($A266,'NonXtal_SegEnds_Prot#'!A:AL,10,FALSE)+6,1)</f>
        <v>T</v>
      </c>
      <c r="T266" s="90" t="str">
        <f>MID(VLOOKUP($A266,Seqs!$A:$B,2,FALSE),VLOOKUP($A266,'NonXtal_SegEnds_Prot#'!A:AL,10,FALSE)+7,1)</f>
        <v>F</v>
      </c>
      <c r="U266" s="90" t="str">
        <f>MID(VLOOKUP($A266,Seqs!$A:$B,2,FALSE),VLOOKUP($A266,'NonXtal_SegEnds_Prot#'!A:AL,10,FALSE)+8,1)</f>
        <v>P</v>
      </c>
      <c r="V266" s="90" t="str">
        <f>MID(VLOOKUP($A266,Seqs!$A:$B,2,FALSE),VLOOKUP($A266,'NonXtal_SegEnds_Prot#'!A:AL,10,FALSE)+9,1)</f>
        <v>F</v>
      </c>
      <c r="W266" s="64" t="str">
        <f>MID(VLOOKUP($A266,Seqs!$A:$B,2,FALSE),VLOOKUP($A266,'NonXtal_SegEnds_Prot#'!$A:$AL,22,FALSE)+6,1)</f>
        <v>L</v>
      </c>
      <c r="X266" s="90" t="str">
        <f>MID(VLOOKUP($A266,Seqs!$A:$B,2,FALSE),VLOOKUP($A266,'NonXtal_SegEnds_Prot#'!$A:$AL,22,FALSE)+7,1)</f>
        <v>S</v>
      </c>
      <c r="Y266" s="90" t="str">
        <f>MID(VLOOKUP($A266,Seqs!$A:$B,2,FALSE),VLOOKUP($A266,'NonXtal_SegEnds_Prot#'!$A:$AL,22,FALSE)+8,1)</f>
        <v>L</v>
      </c>
      <c r="Z266" s="90" t="str">
        <f>MID(VLOOKUP($A266,Seqs!$A:$B,2,FALSE),VLOOKUP($A266,'NonXtal_SegEnds_Prot#'!$A:$AL,22,FALSE)+9,1)</f>
        <v>P</v>
      </c>
      <c r="AA266" s="90" t="str">
        <f>MID(VLOOKUP($A266,Seqs!$A:$B,2,FALSE),VLOOKUP($A266,'NonXtal_SegEnds_Prot#'!$A:$AL,22,FALSE)+10,1)</f>
        <v>N</v>
      </c>
      <c r="AB266" s="64" t="str">
        <f>MID(VLOOKUP($A266,Seqs!$A:$B,2,FALSE),VLOOKUP($A266,'NonXtal_SegEnds_Prot#'!$A:$AL,28,FALSE)-4,1)</f>
        <v>I</v>
      </c>
      <c r="AC266" s="90" t="str">
        <f>MID(VLOOKUP($A266,Seqs!$A:$B,2,FALSE),VLOOKUP($A266,'NonXtal_SegEnds_Prot#'!$A:$AL,28,FALSE),1)</f>
        <v>N</v>
      </c>
    </row>
    <row r="267" spans="1:29" s="2" customFormat="1" x14ac:dyDescent="0.2">
      <c r="A267" s="2" t="s">
        <v>546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1553</v>
      </c>
      <c r="P267" s="4" t="s">
        <v>51</v>
      </c>
      <c r="R267" s="64" t="str">
        <f>MID(VLOOKUP($A267,Seqs!$A:$B,2,FALSE),VLOOKUP($A267,'NonXtal_SegEnds_Prot#'!A:AL,10,FALSE),1)</f>
        <v>D</v>
      </c>
      <c r="S267" s="90" t="str">
        <f>MID(VLOOKUP($A267,Seqs!$A:$B,2,FALSE),VLOOKUP($A267,'NonXtal_SegEnds_Prot#'!A:AL,10,FALSE)+6,1)</f>
        <v>M</v>
      </c>
      <c r="T267" s="90" t="str">
        <f>MID(VLOOKUP($A267,Seqs!$A:$B,2,FALSE),VLOOKUP($A267,'NonXtal_SegEnds_Prot#'!A:AL,10,FALSE)+7,1)</f>
        <v>L</v>
      </c>
      <c r="U267" s="90" t="str">
        <f>MID(VLOOKUP($A267,Seqs!$A:$B,2,FALSE),VLOOKUP($A267,'NonXtal_SegEnds_Prot#'!A:AL,10,FALSE)+8,1)</f>
        <v>P</v>
      </c>
      <c r="V267" s="90" t="str">
        <f>MID(VLOOKUP($A267,Seqs!$A:$B,2,FALSE),VLOOKUP($A267,'NonXtal_SegEnds_Prot#'!A:AL,10,FALSE)+9,1)</f>
        <v>F</v>
      </c>
      <c r="W267" s="64" t="str">
        <f>MID(VLOOKUP($A267,Seqs!$A:$B,2,FALSE),VLOOKUP($A267,'NonXtal_SegEnds_Prot#'!$A:$AL,22,FALSE)+6,1)</f>
        <v>I</v>
      </c>
      <c r="X267" s="90" t="str">
        <f>MID(VLOOKUP($A267,Seqs!$A:$B,2,FALSE),VLOOKUP($A267,'NonXtal_SegEnds_Prot#'!$A:$AL,22,FALSE)+7,1)</f>
        <v>S</v>
      </c>
      <c r="Y267" s="90" t="str">
        <f>MID(VLOOKUP($A267,Seqs!$A:$B,2,FALSE),VLOOKUP($A267,'NonXtal_SegEnds_Prot#'!$A:$AL,22,FALSE)+8,1)</f>
        <v>L</v>
      </c>
      <c r="Z267" s="90" t="str">
        <f>MID(VLOOKUP($A267,Seqs!$A:$B,2,FALSE),VLOOKUP($A267,'NonXtal_SegEnds_Prot#'!$A:$AL,22,FALSE)+9,1)</f>
        <v>P</v>
      </c>
      <c r="AA267" s="90" t="str">
        <f>MID(VLOOKUP($A267,Seqs!$A:$B,2,FALSE),VLOOKUP($A267,'NonXtal_SegEnds_Prot#'!$A:$AL,22,FALSE)+10,1)</f>
        <v>N</v>
      </c>
      <c r="AB267" s="64" t="str">
        <f>MID(VLOOKUP($A267,Seqs!$A:$B,2,FALSE),VLOOKUP($A267,'NonXtal_SegEnds_Prot#'!$A:$AL,28,FALSE)-4,1)</f>
        <v>I</v>
      </c>
      <c r="AC267" s="90" t="str">
        <f>MID(VLOOKUP($A267,Seqs!$A:$B,2,FALSE),VLOOKUP($A267,'NonXtal_SegEnds_Prot#'!$A:$AL,28,FALSE),1)</f>
        <v>V</v>
      </c>
    </row>
    <row r="268" spans="1:29" s="2" customFormat="1" x14ac:dyDescent="0.2">
      <c r="A268" s="2" t="s">
        <v>582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64" t="str">
        <f>MID(VLOOKUP($A268,Seqs!$A:$B,2,FALSE),VLOOKUP($A268,'NonXtal_SegEnds_Prot#'!A:AL,10,FALSE),1)</f>
        <v>D</v>
      </c>
      <c r="S268" s="90" t="str">
        <f>MID(VLOOKUP($A268,Seqs!$A:$B,2,FALSE),VLOOKUP($A268,'NonXtal_SegEnds_Prot#'!A:AL,10,FALSE)+6,1)</f>
        <v>V</v>
      </c>
      <c r="T268" s="90" t="str">
        <f>MID(VLOOKUP($A268,Seqs!$A:$B,2,FALSE),VLOOKUP($A268,'NonXtal_SegEnds_Prot#'!A:AL,10,FALSE)+7,1)</f>
        <v>I</v>
      </c>
      <c r="U268" s="90" t="str">
        <f>MID(VLOOKUP($A268,Seqs!$A:$B,2,FALSE),VLOOKUP($A268,'NonXtal_SegEnds_Prot#'!A:AL,10,FALSE)+8,1)</f>
        <v>M</v>
      </c>
      <c r="V268" s="90" t="str">
        <f>MID(VLOOKUP($A268,Seqs!$A:$B,2,FALSE),VLOOKUP($A268,'NonXtal_SegEnds_Prot#'!A:AL,10,FALSE)+9,1)</f>
        <v>P</v>
      </c>
      <c r="W268" s="64" t="str">
        <f>MID(VLOOKUP($A268,Seqs!$A:$B,2,FALSE),VLOOKUP($A268,'NonXtal_SegEnds_Prot#'!$A:$AL,22,FALSE)+6,1)</f>
        <v>F</v>
      </c>
      <c r="X268" s="90" t="str">
        <f>MID(VLOOKUP($A268,Seqs!$A:$B,2,FALSE),VLOOKUP($A268,'NonXtal_SegEnds_Prot#'!$A:$AL,22,FALSE)+7,1)</f>
        <v>S</v>
      </c>
      <c r="Y268" s="90" t="str">
        <f>MID(VLOOKUP($A268,Seqs!$A:$B,2,FALSE),VLOOKUP($A268,'NonXtal_SegEnds_Prot#'!$A:$AL,22,FALSE)+8,1)</f>
        <v>F</v>
      </c>
      <c r="Z268" s="90" t="str">
        <f>MID(VLOOKUP($A268,Seqs!$A:$B,2,FALSE),VLOOKUP($A268,'NonXtal_SegEnds_Prot#'!$A:$AL,22,FALSE)+9,1)</f>
        <v>G</v>
      </c>
      <c r="AA268" s="90" t="str">
        <f>MID(VLOOKUP($A268,Seqs!$A:$B,2,FALSE),VLOOKUP($A268,'NonXtal_SegEnds_Prot#'!$A:$AL,22,FALSE)+10,1)</f>
        <v>L</v>
      </c>
      <c r="AB268" s="64" t="str">
        <f>MID(VLOOKUP($A268,Seqs!$A:$B,2,FALSE),VLOOKUP($A268,'NonXtal_SegEnds_Prot#'!$A:$AL,28,FALSE)-4,1)</f>
        <v>C</v>
      </c>
      <c r="AC268" s="90" t="str">
        <f>MID(VLOOKUP($A268,Seqs!$A:$B,2,FALSE),VLOOKUP($A268,'NonXtal_SegEnds_Prot#'!$A:$AL,28,FALSE),1)</f>
        <v>P</v>
      </c>
    </row>
    <row r="269" spans="1:29" s="2" customFormat="1" x14ac:dyDescent="0.2">
      <c r="A269" s="2" t="s">
        <v>584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64" t="str">
        <f>MID(VLOOKUP($A269,Seqs!$A:$B,2,FALSE),VLOOKUP($A269,'NonXtal_SegEnds_Prot#'!A:AL,10,FALSE),1)</f>
        <v>D</v>
      </c>
      <c r="S269" s="90" t="str">
        <f>MID(VLOOKUP($A269,Seqs!$A:$B,2,FALSE),VLOOKUP($A269,'NonXtal_SegEnds_Prot#'!A:AL,10,FALSE)+6,1)</f>
        <v>T</v>
      </c>
      <c r="T269" s="90" t="str">
        <f>MID(VLOOKUP($A269,Seqs!$A:$B,2,FALSE),VLOOKUP($A269,'NonXtal_SegEnds_Prot#'!A:AL,10,FALSE)+7,1)</f>
        <v>V</v>
      </c>
      <c r="U269" s="90" t="str">
        <f>MID(VLOOKUP($A269,Seqs!$A:$B,2,FALSE),VLOOKUP($A269,'NonXtal_SegEnds_Prot#'!A:AL,10,FALSE)+8,1)</f>
        <v>M</v>
      </c>
      <c r="V269" s="90" t="str">
        <f>MID(VLOOKUP($A269,Seqs!$A:$B,2,FALSE),VLOOKUP($A269,'NonXtal_SegEnds_Prot#'!A:AL,10,FALSE)+9,1)</f>
        <v>P</v>
      </c>
      <c r="W269" s="64" t="str">
        <f>MID(VLOOKUP($A269,Seqs!$A:$B,2,FALSE),VLOOKUP($A269,'NonXtal_SegEnds_Prot#'!$A:$AL,22,FALSE)+6,1)</f>
        <v>Y</v>
      </c>
      <c r="X269" s="90" t="str">
        <f>MID(VLOOKUP($A269,Seqs!$A:$B,2,FALSE),VLOOKUP($A269,'NonXtal_SegEnds_Prot#'!$A:$AL,22,FALSE)+7,1)</f>
        <v>S</v>
      </c>
      <c r="Y269" s="90" t="str">
        <f>MID(VLOOKUP($A269,Seqs!$A:$B,2,FALSE),VLOOKUP($A269,'NonXtal_SegEnds_Prot#'!$A:$AL,22,FALSE)+8,1)</f>
        <v>G</v>
      </c>
      <c r="Z269" s="90" t="str">
        <f>MID(VLOOKUP($A269,Seqs!$A:$B,2,FALSE),VLOOKUP($A269,'NonXtal_SegEnds_Prot#'!$A:$AL,22,FALSE)+9,1)</f>
        <v>A</v>
      </c>
      <c r="AA269" s="90" t="str">
        <f>MID(VLOOKUP($A269,Seqs!$A:$B,2,FALSE),VLOOKUP($A269,'NonXtal_SegEnds_Prot#'!$A:$AL,22,FALSE)+10,1)</f>
        <v>V</v>
      </c>
      <c r="AB269" s="64" t="str">
        <f>MID(VLOOKUP($A269,Seqs!$A:$B,2,FALSE),VLOOKUP($A269,'NonXtal_SegEnds_Prot#'!$A:$AL,28,FALSE)-4,1)</f>
        <v>S</v>
      </c>
      <c r="AC269" s="90" t="str">
        <f>MID(VLOOKUP($A269,Seqs!$A:$B,2,FALSE),VLOOKUP($A269,'NonXtal_SegEnds_Prot#'!$A:$AL,28,FALSE),1)</f>
        <v>P</v>
      </c>
    </row>
    <row r="270" spans="1:29" s="2" customFormat="1" x14ac:dyDescent="0.2">
      <c r="A270" s="2" t="s">
        <v>585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64" t="str">
        <f>MID(VLOOKUP($A270,Seqs!$A:$B,2,FALSE),VLOOKUP($A270,'NonXtal_SegEnds_Prot#'!A:AL,10,FALSE),1)</f>
        <v>D</v>
      </c>
      <c r="S270" s="90" t="str">
        <f>MID(VLOOKUP($A270,Seqs!$A:$B,2,FALSE),VLOOKUP($A270,'NonXtal_SegEnds_Prot#'!A:AL,10,FALSE)+6,1)</f>
        <v>T</v>
      </c>
      <c r="T270" s="90" t="str">
        <f>MID(VLOOKUP($A270,Seqs!$A:$B,2,FALSE),VLOOKUP($A270,'NonXtal_SegEnds_Prot#'!A:AL,10,FALSE)+7,1)</f>
        <v>V</v>
      </c>
      <c r="U270" s="90" t="str">
        <f>MID(VLOOKUP($A270,Seqs!$A:$B,2,FALSE),VLOOKUP($A270,'NonXtal_SegEnds_Prot#'!A:AL,10,FALSE)+8,1)</f>
        <v>M</v>
      </c>
      <c r="V270" s="90" t="str">
        <f>MID(VLOOKUP($A270,Seqs!$A:$B,2,FALSE),VLOOKUP($A270,'NonXtal_SegEnds_Prot#'!A:AL,10,FALSE)+9,1)</f>
        <v>L</v>
      </c>
      <c r="W270" s="64" t="str">
        <f>MID(VLOOKUP($A270,Seqs!$A:$B,2,FALSE),VLOOKUP($A270,'NonXtal_SegEnds_Prot#'!$A:$AL,22,FALSE)+6,1)</f>
        <v>Y</v>
      </c>
      <c r="X270" s="90" t="str">
        <f>MID(VLOOKUP($A270,Seqs!$A:$B,2,FALSE),VLOOKUP($A270,'NonXtal_SegEnds_Prot#'!$A:$AL,22,FALSE)+7,1)</f>
        <v>S</v>
      </c>
      <c r="Y270" s="90" t="str">
        <f>MID(VLOOKUP($A270,Seqs!$A:$B,2,FALSE),VLOOKUP($A270,'NonXtal_SegEnds_Prot#'!$A:$AL,22,FALSE)+8,1)</f>
        <v>G</v>
      </c>
      <c r="Z270" s="90" t="str">
        <f>MID(VLOOKUP($A270,Seqs!$A:$B,2,FALSE),VLOOKUP($A270,'NonXtal_SegEnds_Prot#'!$A:$AL,22,FALSE)+9,1)</f>
        <v>A</v>
      </c>
      <c r="AA270" s="90" t="str">
        <f>MID(VLOOKUP($A270,Seqs!$A:$B,2,FALSE),VLOOKUP($A270,'NonXtal_SegEnds_Prot#'!$A:$AL,22,FALSE)+10,1)</f>
        <v>V</v>
      </c>
      <c r="AB270" s="64" t="str">
        <f>MID(VLOOKUP($A270,Seqs!$A:$B,2,FALSE),VLOOKUP($A270,'NonXtal_SegEnds_Prot#'!$A:$AL,28,FALSE)-4,1)</f>
        <v>L</v>
      </c>
      <c r="AC270" s="90" t="str">
        <f>MID(VLOOKUP($A270,Seqs!$A:$B,2,FALSE),VLOOKUP($A270,'NonXtal_SegEnds_Prot#'!$A:$AL,28,FALSE),1)</f>
        <v>P</v>
      </c>
    </row>
    <row r="271" spans="1:29" s="2" customFormat="1" x14ac:dyDescent="0.2">
      <c r="A271" s="2" t="s">
        <v>586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64" t="str">
        <f>MID(VLOOKUP($A271,Seqs!$A:$B,2,FALSE),VLOOKUP($A271,'NonXtal_SegEnds_Prot#'!A:AL,10,FALSE),1)</f>
        <v>D</v>
      </c>
      <c r="S271" s="90" t="str">
        <f>MID(VLOOKUP($A271,Seqs!$A:$B,2,FALSE),VLOOKUP($A271,'NonXtal_SegEnds_Prot#'!A:AL,10,FALSE)+6,1)</f>
        <v>T</v>
      </c>
      <c r="T271" s="90" t="str">
        <f>MID(VLOOKUP($A271,Seqs!$A:$B,2,FALSE),VLOOKUP($A271,'NonXtal_SegEnds_Prot#'!A:AL,10,FALSE)+7,1)</f>
        <v>V</v>
      </c>
      <c r="U271" s="90" t="str">
        <f>MID(VLOOKUP($A271,Seqs!$A:$B,2,FALSE),VLOOKUP($A271,'NonXtal_SegEnds_Prot#'!A:AL,10,FALSE)+8,1)</f>
        <v>M</v>
      </c>
      <c r="V271" s="90" t="str">
        <f>MID(VLOOKUP($A271,Seqs!$A:$B,2,FALSE),VLOOKUP($A271,'NonXtal_SegEnds_Prot#'!A:AL,10,FALSE)+9,1)</f>
        <v>P</v>
      </c>
      <c r="W271" s="64" t="str">
        <f>MID(VLOOKUP($A271,Seqs!$A:$B,2,FALSE),VLOOKUP($A271,'NonXtal_SegEnds_Prot#'!$A:$AL,22,FALSE)+6,1)</f>
        <v>Y</v>
      </c>
      <c r="X271" s="90" t="str">
        <f>MID(VLOOKUP($A271,Seqs!$A:$B,2,FALSE),VLOOKUP($A271,'NonXtal_SegEnds_Prot#'!$A:$AL,22,FALSE)+7,1)</f>
        <v>S</v>
      </c>
      <c r="Y271" s="90" t="str">
        <f>MID(VLOOKUP($A271,Seqs!$A:$B,2,FALSE),VLOOKUP($A271,'NonXtal_SegEnds_Prot#'!$A:$AL,22,FALSE)+8,1)</f>
        <v>F</v>
      </c>
      <c r="Z271" s="90" t="str">
        <f>MID(VLOOKUP($A271,Seqs!$A:$B,2,FALSE),VLOOKUP($A271,'NonXtal_SegEnds_Prot#'!$A:$AL,22,FALSE)+9,1)</f>
        <v>S</v>
      </c>
      <c r="AA271" s="90" t="str">
        <f>MID(VLOOKUP($A271,Seqs!$A:$B,2,FALSE),VLOOKUP($A271,'NonXtal_SegEnds_Prot#'!$A:$AL,22,FALSE)+10,1)</f>
        <v>I</v>
      </c>
      <c r="AB271" s="64" t="str">
        <f>MID(VLOOKUP($A271,Seqs!$A:$B,2,FALSE),VLOOKUP($A271,'NonXtal_SegEnds_Prot#'!$A:$AL,28,FALSE)-4,1)</f>
        <v>L</v>
      </c>
      <c r="AC271" s="90" t="str">
        <f>MID(VLOOKUP($A271,Seqs!$A:$B,2,FALSE),VLOOKUP($A271,'NonXtal_SegEnds_Prot#'!$A:$AL,28,FALSE),1)</f>
        <v>P</v>
      </c>
    </row>
    <row r="272" spans="1:29" s="2" customFormat="1" x14ac:dyDescent="0.2">
      <c r="A272" s="2" t="s">
        <v>593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64" t="str">
        <f>MID(VLOOKUP($A272,Seqs!$A:$B,2,FALSE),VLOOKUP($A272,'NonXtal_SegEnds_Prot#'!A:AL,10,FALSE),1)</f>
        <v>D</v>
      </c>
      <c r="S272" s="90" t="str">
        <f>MID(VLOOKUP($A272,Seqs!$A:$B,2,FALSE),VLOOKUP($A272,'NonXtal_SegEnds_Prot#'!A:AL,10,FALSE)+6,1)</f>
        <v>L</v>
      </c>
      <c r="T272" s="90" t="str">
        <f>MID(VLOOKUP($A272,Seqs!$A:$B,2,FALSE),VLOOKUP($A272,'NonXtal_SegEnds_Prot#'!A:AL,10,FALSE)+7,1)</f>
        <v>L</v>
      </c>
      <c r="U272" s="90" t="str">
        <f>MID(VLOOKUP($A272,Seqs!$A:$B,2,FALSE),VLOOKUP($A272,'NonXtal_SegEnds_Prot#'!A:AL,10,FALSE)+8,1)</f>
        <v>P</v>
      </c>
      <c r="V272" s="90" t="str">
        <f>MID(VLOOKUP($A272,Seqs!$A:$B,2,FALSE),VLOOKUP($A272,'NonXtal_SegEnds_Prot#'!A:AL,10,FALSE)+9,1)</f>
        <v>V</v>
      </c>
      <c r="W272" s="64" t="str">
        <f>MID(VLOOKUP($A272,Seqs!$A:$B,2,FALSE),VLOOKUP($A272,'NonXtal_SegEnds_Prot#'!$A:$AL,22,FALSE)+6,1)</f>
        <v>S</v>
      </c>
      <c r="X272" s="90" t="str">
        <f>MID(VLOOKUP($A272,Seqs!$A:$B,2,FALSE),VLOOKUP($A272,'NonXtal_SegEnds_Prot#'!$A:$AL,22,FALSE)+7,1)</f>
        <v>S</v>
      </c>
      <c r="Y272" s="90" t="str">
        <f>MID(VLOOKUP($A272,Seqs!$A:$B,2,FALSE),VLOOKUP($A272,'NonXtal_SegEnds_Prot#'!$A:$AL,22,FALSE)+8,1)</f>
        <v>I</v>
      </c>
      <c r="Z272" s="90" t="str">
        <f>MID(VLOOKUP($A272,Seqs!$A:$B,2,FALSE),VLOOKUP($A272,'NonXtal_SegEnds_Prot#'!$A:$AL,22,FALSE)+9,1)</f>
        <v>L</v>
      </c>
      <c r="AA272" s="90" t="str">
        <f>MID(VLOOKUP($A272,Seqs!$A:$B,2,FALSE),VLOOKUP($A272,'NonXtal_SegEnds_Prot#'!$A:$AL,22,FALSE)+10,1)</f>
        <v>D</v>
      </c>
      <c r="AB272" s="64" t="str">
        <f>MID(VLOOKUP($A272,Seqs!$A:$B,2,FALSE),VLOOKUP($A272,'NonXtal_SegEnds_Prot#'!$A:$AL,28,FALSE)-4,1)</f>
        <v>F</v>
      </c>
      <c r="AC272" s="90" t="str">
        <f>MID(VLOOKUP($A272,Seqs!$A:$B,2,FALSE),VLOOKUP($A272,'NonXtal_SegEnds_Prot#'!$A:$AL,28,FALSE),1)</f>
        <v>S</v>
      </c>
    </row>
    <row r="273" spans="1:29" s="2" customFormat="1" x14ac:dyDescent="0.2">
      <c r="A273" s="2" t="s">
        <v>330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64" t="str">
        <f>MID(VLOOKUP($A273,Seqs!$A:$B,2,FALSE),VLOOKUP($A273,'NonXtal_SegEnds_Prot#'!A:AL,10,FALSE),1)</f>
        <v>D</v>
      </c>
      <c r="S273" s="90" t="str">
        <f>MID(VLOOKUP($A273,Seqs!$A:$B,2,FALSE),VLOOKUP($A273,'NonXtal_SegEnds_Prot#'!A:AL,10,FALSE)+6,1)</f>
        <v>A</v>
      </c>
      <c r="T273" s="90" t="str">
        <f>MID(VLOOKUP($A273,Seqs!$A:$B,2,FALSE),VLOOKUP($A273,'NonXtal_SegEnds_Prot#'!A:AL,10,FALSE)+7,1)</f>
        <v>V</v>
      </c>
      <c r="U273" s="90" t="str">
        <f>MID(VLOOKUP($A273,Seqs!$A:$B,2,FALSE),VLOOKUP($A273,'NonXtal_SegEnds_Prot#'!A:AL,10,FALSE)+8,1)</f>
        <v>M</v>
      </c>
      <c r="V273" s="90" t="str">
        <f>MID(VLOOKUP($A273,Seqs!$A:$B,2,FALSE),VLOOKUP($A273,'NonXtal_SegEnds_Prot#'!A:AL,10,FALSE)+9,1)</f>
        <v>P</v>
      </c>
      <c r="W273" s="64" t="str">
        <f>MID(VLOOKUP($A273,Seqs!$A:$B,2,FALSE),VLOOKUP($A273,'NonXtal_SegEnds_Prot#'!$A:$AL,22,FALSE)+6,1)</f>
        <v>I</v>
      </c>
      <c r="X273" s="90" t="str">
        <f>MID(VLOOKUP($A273,Seqs!$A:$B,2,FALSE),VLOOKUP($A273,'NonXtal_SegEnds_Prot#'!$A:$AL,22,FALSE)+7,1)</f>
        <v>T</v>
      </c>
      <c r="Y273" s="90" t="str">
        <f>MID(VLOOKUP($A273,Seqs!$A:$B,2,FALSE),VLOOKUP($A273,'NonXtal_SegEnds_Prot#'!$A:$AL,22,FALSE)+8,1)</f>
        <v>L</v>
      </c>
      <c r="Z273" s="90" t="str">
        <f>MID(VLOOKUP($A273,Seqs!$A:$B,2,FALSE),VLOOKUP($A273,'NonXtal_SegEnds_Prot#'!$A:$AL,22,FALSE)+9,1)</f>
        <v>P</v>
      </c>
      <c r="AA273" s="90" t="str">
        <f>MID(VLOOKUP($A273,Seqs!$A:$B,2,FALSE),VLOOKUP($A273,'NonXtal_SegEnds_Prot#'!$A:$AL,22,FALSE)+10,1)</f>
        <v>P</v>
      </c>
      <c r="AB273" s="64" t="str">
        <f>MID(VLOOKUP($A273,Seqs!$A:$B,2,FALSE),VLOOKUP($A273,'NonXtal_SegEnds_Prot#'!$A:$AL,28,FALSE)-4,1)</f>
        <v>A</v>
      </c>
      <c r="AC273" s="90" t="str">
        <f>MID(VLOOKUP($A273,Seqs!$A:$B,2,FALSE),VLOOKUP($A273,'NonXtal_SegEnds_Prot#'!$A:$AL,28,FALSE),1)</f>
        <v>P</v>
      </c>
    </row>
    <row r="274" spans="1:29" s="2" customFormat="1" x14ac:dyDescent="0.2">
      <c r="A274" s="2" t="s">
        <v>409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64" t="str">
        <f>MID(VLOOKUP($A274,Seqs!$A:$B,2,FALSE),VLOOKUP($A274,'NonXtal_SegEnds_Prot#'!A:AL,10,FALSE),1)</f>
        <v>D</v>
      </c>
      <c r="S274" s="90" t="str">
        <f>MID(VLOOKUP($A274,Seqs!$A:$B,2,FALSE),VLOOKUP($A274,'NonXtal_SegEnds_Prot#'!A:AL,10,FALSE)+6,1)</f>
        <v>F</v>
      </c>
      <c r="T274" s="90" t="str">
        <f>MID(VLOOKUP($A274,Seqs!$A:$B,2,FALSE),VLOOKUP($A274,'NonXtal_SegEnds_Prot#'!A:AL,10,FALSE)+7,1)</f>
        <v>I</v>
      </c>
      <c r="U274" s="90" t="str">
        <f>MID(VLOOKUP($A274,Seqs!$A:$B,2,FALSE),VLOOKUP($A274,'NonXtal_SegEnds_Prot#'!A:AL,10,FALSE)+8,1)</f>
        <v>V</v>
      </c>
      <c r="V274" s="90" t="str">
        <f>MID(VLOOKUP($A274,Seqs!$A:$B,2,FALSE),VLOOKUP($A274,'NonXtal_SegEnds_Prot#'!A:AL,10,FALSE)+9,1)</f>
        <v>F</v>
      </c>
      <c r="W274" s="64" t="str">
        <f>MID(VLOOKUP($A274,Seqs!$A:$B,2,FALSE),VLOOKUP($A274,'NonXtal_SegEnds_Prot#'!$A:$AL,22,FALSE)+6,1)</f>
        <v>L</v>
      </c>
      <c r="X274" s="90" t="str">
        <f>MID(VLOOKUP($A274,Seqs!$A:$B,2,FALSE),VLOOKUP($A274,'NonXtal_SegEnds_Prot#'!$A:$AL,22,FALSE)+7,1)</f>
        <v>T</v>
      </c>
      <c r="Y274" s="90" t="str">
        <f>MID(VLOOKUP($A274,Seqs!$A:$B,2,FALSE),VLOOKUP($A274,'NonXtal_SegEnds_Prot#'!$A:$AL,22,FALSE)+8,1)</f>
        <v>S</v>
      </c>
      <c r="Z274" s="90" t="str">
        <f>MID(VLOOKUP($A274,Seqs!$A:$B,2,FALSE),VLOOKUP($A274,'NonXtal_SegEnds_Prot#'!$A:$AL,22,FALSE)+9,1)</f>
        <v>I</v>
      </c>
      <c r="AA274" s="90" t="str">
        <f>MID(VLOOKUP($A274,Seqs!$A:$B,2,FALSE),VLOOKUP($A274,'NonXtal_SegEnds_Prot#'!$A:$AL,22,FALSE)+10,1)</f>
        <v>P</v>
      </c>
      <c r="AB274" s="64" t="str">
        <f>MID(VLOOKUP($A274,Seqs!$A:$B,2,FALSE),VLOOKUP($A274,'NonXtal_SegEnds_Prot#'!$A:$AL,28,FALSE)-4,1)</f>
        <v>V</v>
      </c>
      <c r="AC274" s="90" t="str">
        <f>MID(VLOOKUP($A274,Seqs!$A:$B,2,FALSE),VLOOKUP($A274,'NonXtal_SegEnds_Prot#'!$A:$AL,28,FALSE),1)</f>
        <v>P</v>
      </c>
    </row>
    <row r="275" spans="1:29" s="2" customFormat="1" x14ac:dyDescent="0.2">
      <c r="A275" s="2" t="s">
        <v>411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64" t="str">
        <f>MID(VLOOKUP($A275,Seqs!$A:$B,2,FALSE),VLOOKUP($A275,'NonXtal_SegEnds_Prot#'!A:AL,10,FALSE),1)</f>
        <v>D</v>
      </c>
      <c r="S275" s="90" t="str">
        <f>MID(VLOOKUP($A275,Seqs!$A:$B,2,FALSE),VLOOKUP($A275,'NonXtal_SegEnds_Prot#'!A:AL,10,FALSE)+6,1)</f>
        <v>V</v>
      </c>
      <c r="T275" s="90" t="str">
        <f>MID(VLOOKUP($A275,Seqs!$A:$B,2,FALSE),VLOOKUP($A275,'NonXtal_SegEnds_Prot#'!A:AL,10,FALSE)+7,1)</f>
        <v>I</v>
      </c>
      <c r="U275" s="90" t="str">
        <f>MID(VLOOKUP($A275,Seqs!$A:$B,2,FALSE),VLOOKUP($A275,'NonXtal_SegEnds_Prot#'!A:AL,10,FALSE)+8,1)</f>
        <v>V</v>
      </c>
      <c r="V275" s="90" t="str">
        <f>MID(VLOOKUP($A275,Seqs!$A:$B,2,FALSE),VLOOKUP($A275,'NonXtal_SegEnds_Prot#'!A:AL,10,FALSE)+9,1)</f>
        <v>F</v>
      </c>
      <c r="W275" s="64" t="str">
        <f>MID(VLOOKUP($A275,Seqs!$A:$B,2,FALSE),VLOOKUP($A275,'NonXtal_SegEnds_Prot#'!$A:$AL,22,FALSE)+6,1)</f>
        <v>L</v>
      </c>
      <c r="X275" s="90" t="str">
        <f>MID(VLOOKUP($A275,Seqs!$A:$B,2,FALSE),VLOOKUP($A275,'NonXtal_SegEnds_Prot#'!$A:$AL,22,FALSE)+7,1)</f>
        <v>T</v>
      </c>
      <c r="Y275" s="90" t="str">
        <f>MID(VLOOKUP($A275,Seqs!$A:$B,2,FALSE),VLOOKUP($A275,'NonXtal_SegEnds_Prot#'!$A:$AL,22,FALSE)+8,1)</f>
        <v>G</v>
      </c>
      <c r="Z275" s="90" t="str">
        <f>MID(VLOOKUP($A275,Seqs!$A:$B,2,FALSE),VLOOKUP($A275,'NonXtal_SegEnds_Prot#'!$A:$AL,22,FALSE)+9,1)</f>
        <v>I</v>
      </c>
      <c r="AA275" s="90" t="str">
        <f>MID(VLOOKUP($A275,Seqs!$A:$B,2,FALSE),VLOOKUP($A275,'NonXtal_SegEnds_Prot#'!$A:$AL,22,FALSE)+10,1)</f>
        <v>P</v>
      </c>
      <c r="AB275" s="64" t="str">
        <f>MID(VLOOKUP($A275,Seqs!$A:$B,2,FALSE),VLOOKUP($A275,'NonXtal_SegEnds_Prot#'!$A:$AL,28,FALSE)-4,1)</f>
        <v>V</v>
      </c>
      <c r="AC275" s="90" t="str">
        <f>MID(VLOOKUP($A275,Seqs!$A:$B,2,FALSE),VLOOKUP($A275,'NonXtal_SegEnds_Prot#'!$A:$AL,28,FALSE),1)</f>
        <v>P</v>
      </c>
    </row>
    <row r="276" spans="1:29" s="2" customFormat="1" x14ac:dyDescent="0.2">
      <c r="A276" s="2" t="s">
        <v>429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64" t="str">
        <f>MID(VLOOKUP($A276,Seqs!$A:$B,2,FALSE),VLOOKUP($A276,'NonXtal_SegEnds_Prot#'!A:AL,10,FALSE),1)</f>
        <v>D</v>
      </c>
      <c r="S276" s="90" t="str">
        <f>MID(VLOOKUP($A276,Seqs!$A:$B,2,FALSE),VLOOKUP($A276,'NonXtal_SegEnds_Prot#'!A:AL,10,FALSE)+6,1)</f>
        <v>D</v>
      </c>
      <c r="T276" s="90" t="str">
        <f>MID(VLOOKUP($A276,Seqs!$A:$B,2,FALSE),VLOOKUP($A276,'NonXtal_SegEnds_Prot#'!A:AL,10,FALSE)+7,1)</f>
        <v>S</v>
      </c>
      <c r="U276" s="90" t="str">
        <f>MID(VLOOKUP($A276,Seqs!$A:$B,2,FALSE),VLOOKUP($A276,'NonXtal_SegEnds_Prot#'!A:AL,10,FALSE)+8,1)</f>
        <v>L</v>
      </c>
      <c r="V276" s="90" t="str">
        <f>MID(VLOOKUP($A276,Seqs!$A:$B,2,FALSE),VLOOKUP($A276,'NonXtal_SegEnds_Prot#'!A:AL,10,FALSE)+9,1)</f>
        <v>I</v>
      </c>
      <c r="W276" s="64" t="str">
        <f>MID(VLOOKUP($A276,Seqs!$A:$B,2,FALSE),VLOOKUP($A276,'NonXtal_SegEnds_Prot#'!$A:$AL,22,FALSE)+6,1)</f>
        <v>A</v>
      </c>
      <c r="X276" s="90" t="str">
        <f>MID(VLOOKUP($A276,Seqs!$A:$B,2,FALSE),VLOOKUP($A276,'NonXtal_SegEnds_Prot#'!$A:$AL,22,FALSE)+7,1)</f>
        <v>T</v>
      </c>
      <c r="Y276" s="90" t="str">
        <f>MID(VLOOKUP($A276,Seqs!$A:$B,2,FALSE),VLOOKUP($A276,'NonXtal_SegEnds_Prot#'!$A:$AL,22,FALSE)+8,1)</f>
        <v>L</v>
      </c>
      <c r="Z276" s="90" t="str">
        <f>MID(VLOOKUP($A276,Seqs!$A:$B,2,FALSE),VLOOKUP($A276,'NonXtal_SegEnds_Prot#'!$A:$AL,22,FALSE)+9,1)</f>
        <v>V</v>
      </c>
      <c r="AA276" s="90" t="str">
        <f>MID(VLOOKUP($A276,Seqs!$A:$B,2,FALSE),VLOOKUP($A276,'NonXtal_SegEnds_Prot#'!$A:$AL,22,FALSE)+10,1)</f>
        <v>P</v>
      </c>
      <c r="AB276" s="64" t="str">
        <f>MID(VLOOKUP($A276,Seqs!$A:$B,2,FALSE),VLOOKUP($A276,'NonXtal_SegEnds_Prot#'!$A:$AL,28,FALSE)-4,1)</f>
        <v>G</v>
      </c>
      <c r="AC276" s="90" t="str">
        <f>MID(VLOOKUP($A276,Seqs!$A:$B,2,FALSE),VLOOKUP($A276,'NonXtal_SegEnds_Prot#'!$A:$AL,28,FALSE),1)</f>
        <v>P</v>
      </c>
    </row>
    <row r="277" spans="1:29" s="2" customFormat="1" x14ac:dyDescent="0.2">
      <c r="A277" s="2" t="s">
        <v>436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64" t="str">
        <f>MID(VLOOKUP($A277,Seqs!$A:$B,2,FALSE),VLOOKUP($A277,'NonXtal_SegEnds_Prot#'!A:AL,10,FALSE),1)</f>
        <v>D</v>
      </c>
      <c r="S277" s="90" t="str">
        <f>MID(VLOOKUP($A277,Seqs!$A:$B,2,FALSE),VLOOKUP($A277,'NonXtal_SegEnds_Prot#'!A:AL,10,FALSE)+6,1)</f>
        <v>S</v>
      </c>
      <c r="T277" s="90" t="str">
        <f>MID(VLOOKUP($A277,Seqs!$A:$B,2,FALSE),VLOOKUP($A277,'NonXtal_SegEnds_Prot#'!A:AL,10,FALSE)+7,1)</f>
        <v>L</v>
      </c>
      <c r="U277" s="90" t="str">
        <f>MID(VLOOKUP($A277,Seqs!$A:$B,2,FALSE),VLOOKUP($A277,'NonXtal_SegEnds_Prot#'!A:AL,10,FALSE)+8,1)</f>
        <v>P</v>
      </c>
      <c r="V277" s="90" t="str">
        <f>MID(VLOOKUP($A277,Seqs!$A:$B,2,FALSE),VLOOKUP($A277,'NonXtal_SegEnds_Prot#'!A:AL,10,FALSE)+9,1)</f>
        <v>T</v>
      </c>
      <c r="W277" s="64" t="str">
        <f>MID(VLOOKUP($A277,Seqs!$A:$B,2,FALSE),VLOOKUP($A277,'NonXtal_SegEnds_Prot#'!$A:$AL,22,FALSE)+6,1)</f>
        <v>V</v>
      </c>
      <c r="X277" s="90" t="str">
        <f>MID(VLOOKUP($A277,Seqs!$A:$B,2,FALSE),VLOOKUP($A277,'NonXtal_SegEnds_Prot#'!$A:$AL,22,FALSE)+7,1)</f>
        <v>T</v>
      </c>
      <c r="Y277" s="90" t="str">
        <f>MID(VLOOKUP($A277,Seqs!$A:$B,2,FALSE),VLOOKUP($A277,'NonXtal_SegEnds_Prot#'!$A:$AL,22,FALSE)+8,1)</f>
        <v>L</v>
      </c>
      <c r="Z277" s="90" t="str">
        <f>MID(VLOOKUP($A277,Seqs!$A:$B,2,FALSE),VLOOKUP($A277,'NonXtal_SegEnds_Prot#'!$A:$AL,22,FALSE)+9,1)</f>
        <v>S</v>
      </c>
      <c r="AA277" s="90" t="str">
        <f>MID(VLOOKUP($A277,Seqs!$A:$B,2,FALSE),VLOOKUP($A277,'NonXtal_SegEnds_Prot#'!$A:$AL,22,FALSE)+10,1)</f>
        <v>V</v>
      </c>
      <c r="AB277" s="64" t="str">
        <f>MID(VLOOKUP($A277,Seqs!$A:$B,2,FALSE),VLOOKUP($A277,'NonXtal_SegEnds_Prot#'!$A:$AL,28,FALSE)-4,1)</f>
        <v>E</v>
      </c>
      <c r="AC277" s="90" t="str">
        <f>MID(VLOOKUP($A277,Seqs!$A:$B,2,FALSE),VLOOKUP($A277,'NonXtal_SegEnds_Prot#'!$A:$AL,28,FALSE),1)</f>
        <v>P</v>
      </c>
    </row>
    <row r="278" spans="1:29" s="2" customFormat="1" x14ac:dyDescent="0.2">
      <c r="A278" s="2" t="s">
        <v>468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64" t="str">
        <f>MID(VLOOKUP($A278,Seqs!$A:$B,2,FALSE),VLOOKUP($A278,'NonXtal_SegEnds_Prot#'!A:AL,10,FALSE),1)</f>
        <v>D</v>
      </c>
      <c r="S278" s="90" t="str">
        <f>MID(VLOOKUP($A278,Seqs!$A:$B,2,FALSE),VLOOKUP($A278,'NonXtal_SegEnds_Prot#'!A:AL,10,FALSE)+6,1)</f>
        <v>C</v>
      </c>
      <c r="T278" s="90" t="str">
        <f>MID(VLOOKUP($A278,Seqs!$A:$B,2,FALSE),VLOOKUP($A278,'NonXtal_SegEnds_Prot#'!A:AL,10,FALSE)+7,1)</f>
        <v>L</v>
      </c>
      <c r="U278" s="90" t="str">
        <f>MID(VLOOKUP($A278,Seqs!$A:$B,2,FALSE),VLOOKUP($A278,'NonXtal_SegEnds_Prot#'!A:AL,10,FALSE)+8,1)</f>
        <v>P</v>
      </c>
      <c r="V278" s="90" t="str">
        <f>MID(VLOOKUP($A278,Seqs!$A:$B,2,FALSE),VLOOKUP($A278,'NonXtal_SegEnds_Prot#'!A:AL,10,FALSE)+9,1)</f>
        <v>F</v>
      </c>
      <c r="W278" s="64" t="str">
        <f>MID(VLOOKUP($A278,Seqs!$A:$B,2,FALSE),VLOOKUP($A278,'NonXtal_SegEnds_Prot#'!$A:$AL,22,FALSE)+6,1)</f>
        <v>G</v>
      </c>
      <c r="X278" s="90" t="str">
        <f>MID(VLOOKUP($A278,Seqs!$A:$B,2,FALSE),VLOOKUP($A278,'NonXtal_SegEnds_Prot#'!$A:$AL,22,FALSE)+7,1)</f>
        <v>T</v>
      </c>
      <c r="Y278" s="90" t="str">
        <f>MID(VLOOKUP($A278,Seqs!$A:$B,2,FALSE),VLOOKUP($A278,'NonXtal_SegEnds_Prot#'!$A:$AL,22,FALSE)+8,1)</f>
        <v>V</v>
      </c>
      <c r="Z278" s="90" t="str">
        <f>MID(VLOOKUP($A278,Seqs!$A:$B,2,FALSE),VLOOKUP($A278,'NonXtal_SegEnds_Prot#'!$A:$AL,22,FALSE)+9,1)</f>
        <v>Y</v>
      </c>
      <c r="AA278" s="90" t="str">
        <f>MID(VLOOKUP($A278,Seqs!$A:$B,2,FALSE),VLOOKUP($A278,'NonXtal_SegEnds_Prot#'!$A:$AL,22,FALSE)+10,1)</f>
        <v>L</v>
      </c>
      <c r="AB278" s="64" t="str">
        <f>MID(VLOOKUP($A278,Seqs!$A:$B,2,FALSE),VLOOKUP($A278,'NonXtal_SegEnds_Prot#'!$A:$AL,28,FALSE)-4,1)</f>
        <v>E</v>
      </c>
      <c r="AC278" s="90" t="str">
        <f>MID(VLOOKUP($A278,Seqs!$A:$B,2,FALSE),VLOOKUP($A278,'NonXtal_SegEnds_Prot#'!$A:$AL,28,FALSE),1)</f>
        <v>P</v>
      </c>
    </row>
    <row r="279" spans="1:29" s="2" customFormat="1" x14ac:dyDescent="0.2">
      <c r="A279" s="2" t="s">
        <v>469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64" t="str">
        <f>MID(VLOOKUP($A279,Seqs!$A:$B,2,FALSE),VLOOKUP($A279,'NonXtal_SegEnds_Prot#'!A:AL,10,FALSE),1)</f>
        <v>D</v>
      </c>
      <c r="S279" s="90" t="str">
        <f>MID(VLOOKUP($A279,Seqs!$A:$B,2,FALSE),VLOOKUP($A279,'NonXtal_SegEnds_Prot#'!A:AL,10,FALSE)+6,1)</f>
        <v>C</v>
      </c>
      <c r="T279" s="90" t="str">
        <f>MID(VLOOKUP($A279,Seqs!$A:$B,2,FALSE),VLOOKUP($A279,'NonXtal_SegEnds_Prot#'!A:AL,10,FALSE)+7,1)</f>
        <v>L</v>
      </c>
      <c r="U279" s="90" t="str">
        <f>MID(VLOOKUP($A279,Seqs!$A:$B,2,FALSE),VLOOKUP($A279,'NonXtal_SegEnds_Prot#'!A:AL,10,FALSE)+8,1)</f>
        <v>P</v>
      </c>
      <c r="V279" s="90" t="str">
        <f>MID(VLOOKUP($A279,Seqs!$A:$B,2,FALSE),VLOOKUP($A279,'NonXtal_SegEnds_Prot#'!A:AL,10,FALSE)+9,1)</f>
        <v>F</v>
      </c>
      <c r="W279" s="64" t="str">
        <f>MID(VLOOKUP($A279,Seqs!$A:$B,2,FALSE),VLOOKUP($A279,'NonXtal_SegEnds_Prot#'!$A:$AL,22,FALSE)+6,1)</f>
        <v>L</v>
      </c>
      <c r="X279" s="90" t="str">
        <f>MID(VLOOKUP($A279,Seqs!$A:$B,2,FALSE),VLOOKUP($A279,'NonXtal_SegEnds_Prot#'!$A:$AL,22,FALSE)+7,1)</f>
        <v>T</v>
      </c>
      <c r="Y279" s="90" t="str">
        <f>MID(VLOOKUP($A279,Seqs!$A:$B,2,FALSE),VLOOKUP($A279,'NonXtal_SegEnds_Prot#'!$A:$AL,22,FALSE)+8,1)</f>
        <v>V</v>
      </c>
      <c r="Z279" s="90" t="str">
        <f>MID(VLOOKUP($A279,Seqs!$A:$B,2,FALSE),VLOOKUP($A279,'NonXtal_SegEnds_Prot#'!$A:$AL,22,FALSE)+9,1)</f>
        <v>H</v>
      </c>
      <c r="AA279" s="90" t="str">
        <f>MID(VLOOKUP($A279,Seqs!$A:$B,2,FALSE),VLOOKUP($A279,'NonXtal_SegEnds_Prot#'!$A:$AL,22,FALSE)+10,1)</f>
        <v>L</v>
      </c>
      <c r="AB279" s="64" t="str">
        <f>MID(VLOOKUP($A279,Seqs!$A:$B,2,FALSE),VLOOKUP($A279,'NonXtal_SegEnds_Prot#'!$A:$AL,28,FALSE)-4,1)</f>
        <v>E</v>
      </c>
      <c r="AC279" s="90" t="str">
        <f>MID(VLOOKUP($A279,Seqs!$A:$B,2,FALSE),VLOOKUP($A279,'NonXtal_SegEnds_Prot#'!$A:$AL,28,FALSE),1)</f>
        <v>P</v>
      </c>
    </row>
    <row r="280" spans="1:29" s="2" customFormat="1" x14ac:dyDescent="0.2">
      <c r="A280" s="2" t="s">
        <v>470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64" t="str">
        <f>MID(VLOOKUP($A280,Seqs!$A:$B,2,FALSE),VLOOKUP($A280,'NonXtal_SegEnds_Prot#'!A:AL,10,FALSE),1)</f>
        <v>D</v>
      </c>
      <c r="S280" s="90" t="str">
        <f>MID(VLOOKUP($A280,Seqs!$A:$B,2,FALSE),VLOOKUP($A280,'NonXtal_SegEnds_Prot#'!A:AL,10,FALSE)+6,1)</f>
        <v>C</v>
      </c>
      <c r="T280" s="90" t="str">
        <f>MID(VLOOKUP($A280,Seqs!$A:$B,2,FALSE),VLOOKUP($A280,'NonXtal_SegEnds_Prot#'!A:AL,10,FALSE)+7,1)</f>
        <v>L</v>
      </c>
      <c r="U280" s="90" t="str">
        <f>MID(VLOOKUP($A280,Seqs!$A:$B,2,FALSE),VLOOKUP($A280,'NonXtal_SegEnds_Prot#'!A:AL,10,FALSE)+8,1)</f>
        <v>P</v>
      </c>
      <c r="V280" s="90" t="str">
        <f>MID(VLOOKUP($A280,Seqs!$A:$B,2,FALSE),VLOOKUP($A280,'NonXtal_SegEnds_Prot#'!A:AL,10,FALSE)+9,1)</f>
        <v>F</v>
      </c>
      <c r="W280" s="64" t="str">
        <f>MID(VLOOKUP($A280,Seqs!$A:$B,2,FALSE),VLOOKUP($A280,'NonXtal_SegEnds_Prot#'!$A:$AL,22,FALSE)+6,1)</f>
        <v>L</v>
      </c>
      <c r="X280" s="90" t="str">
        <f>MID(VLOOKUP($A280,Seqs!$A:$B,2,FALSE),VLOOKUP($A280,'NonXtal_SegEnds_Prot#'!$A:$AL,22,FALSE)+7,1)</f>
        <v>T</v>
      </c>
      <c r="Y280" s="90" t="str">
        <f>MID(VLOOKUP($A280,Seqs!$A:$B,2,FALSE),VLOOKUP($A280,'NonXtal_SegEnds_Prot#'!$A:$AL,22,FALSE)+8,1)</f>
        <v>V</v>
      </c>
      <c r="Z280" s="90" t="str">
        <f>MID(VLOOKUP($A280,Seqs!$A:$B,2,FALSE),VLOOKUP($A280,'NonXtal_SegEnds_Prot#'!$A:$AL,22,FALSE)+9,1)</f>
        <v>H</v>
      </c>
      <c r="AA280" s="90" t="str">
        <f>MID(VLOOKUP($A280,Seqs!$A:$B,2,FALSE),VLOOKUP($A280,'NonXtal_SegEnds_Prot#'!$A:$AL,22,FALSE)+10,1)</f>
        <v>L</v>
      </c>
      <c r="AB280" s="64" t="str">
        <f>MID(VLOOKUP($A280,Seqs!$A:$B,2,FALSE),VLOOKUP($A280,'NonXtal_SegEnds_Prot#'!$A:$AL,28,FALSE)-4,1)</f>
        <v>E</v>
      </c>
      <c r="AC280" s="90" t="str">
        <f>MID(VLOOKUP($A280,Seqs!$A:$B,2,FALSE),VLOOKUP($A280,'NonXtal_SegEnds_Prot#'!$A:$AL,28,FALSE),1)</f>
        <v>P</v>
      </c>
    </row>
    <row r="281" spans="1:29" s="2" customFormat="1" x14ac:dyDescent="0.2">
      <c r="A281" s="2" t="s">
        <v>487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64" t="str">
        <f>MID(VLOOKUP($A281,Seqs!$A:$B,2,FALSE),VLOOKUP($A281,'NonXtal_SegEnds_Prot#'!A:AL,10,FALSE),1)</f>
        <v>D</v>
      </c>
      <c r="S281" s="90" t="str">
        <f>MID(VLOOKUP($A281,Seqs!$A:$B,2,FALSE),VLOOKUP($A281,'NonXtal_SegEnds_Prot#'!A:AL,10,FALSE)+6,1)</f>
        <v>C</v>
      </c>
      <c r="T281" s="90" t="str">
        <f>MID(VLOOKUP($A281,Seqs!$A:$B,2,FALSE),VLOOKUP($A281,'NonXtal_SegEnds_Prot#'!A:AL,10,FALSE)+7,1)</f>
        <v>I</v>
      </c>
      <c r="U281" s="90" t="str">
        <f>MID(VLOOKUP($A281,Seqs!$A:$B,2,FALSE),VLOOKUP($A281,'NonXtal_SegEnds_Prot#'!A:AL,10,FALSE)+8,1)</f>
        <v>F</v>
      </c>
      <c r="V281" s="90" t="str">
        <f>MID(VLOOKUP($A281,Seqs!$A:$B,2,FALSE),VLOOKUP($A281,'NonXtal_SegEnds_Prot#'!A:AL,10,FALSE)+9,1)</f>
        <v>I</v>
      </c>
      <c r="W281" s="64" t="str">
        <f>MID(VLOOKUP($A281,Seqs!$A:$B,2,FALSE),VLOOKUP($A281,'NonXtal_SegEnds_Prot#'!$A:$AL,22,FALSE)+6,1)</f>
        <v>V</v>
      </c>
      <c r="X281" s="90" t="str">
        <f>MID(VLOOKUP($A281,Seqs!$A:$B,2,FALSE),VLOOKUP($A281,'NonXtal_SegEnds_Prot#'!$A:$AL,22,FALSE)+7,1)</f>
        <v>T</v>
      </c>
      <c r="Y281" s="90" t="str">
        <f>MID(VLOOKUP($A281,Seqs!$A:$B,2,FALSE),VLOOKUP($A281,'NonXtal_SegEnds_Prot#'!$A:$AL,22,FALSE)+8,1)</f>
        <v>T</v>
      </c>
      <c r="Z281" s="90" t="str">
        <f>MID(VLOOKUP($A281,Seqs!$A:$B,2,FALSE),VLOOKUP($A281,'NonXtal_SegEnds_Prot#'!$A:$AL,22,FALSE)+9,1)</f>
        <v>M</v>
      </c>
      <c r="AA281" s="90" t="str">
        <f>MID(VLOOKUP($A281,Seqs!$A:$B,2,FALSE),VLOOKUP($A281,'NonXtal_SegEnds_Prot#'!$A:$AL,22,FALSE)+10,1)</f>
        <v>E</v>
      </c>
      <c r="AB281" s="64" t="str">
        <f>MID(VLOOKUP($A281,Seqs!$A:$B,2,FALSE),VLOOKUP($A281,'NonXtal_SegEnds_Prot#'!$A:$AL,28,FALSE)-4,1)</f>
        <v>L</v>
      </c>
      <c r="AC281" s="90" t="str">
        <f>MID(VLOOKUP($A281,Seqs!$A:$B,2,FALSE),VLOOKUP($A281,'NonXtal_SegEnds_Prot#'!$A:$AL,28,FALSE),1)</f>
        <v>P</v>
      </c>
    </row>
    <row r="282" spans="1:29" s="2" customFormat="1" x14ac:dyDescent="0.2">
      <c r="A282" s="2" t="s">
        <v>496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64" t="str">
        <f>MID(VLOOKUP($A282,Seqs!$A:$B,2,FALSE),VLOOKUP($A282,'NonXtal_SegEnds_Prot#'!A:AL,10,FALSE),1)</f>
        <v>D</v>
      </c>
      <c r="S282" s="90" t="str">
        <f>MID(VLOOKUP($A282,Seqs!$A:$B,2,FALSE),VLOOKUP($A282,'NonXtal_SegEnds_Prot#'!A:AL,10,FALSE)+6,1)</f>
        <v>S</v>
      </c>
      <c r="T282" s="90" t="str">
        <f>MID(VLOOKUP($A282,Seqs!$A:$B,2,FALSE),VLOOKUP($A282,'NonXtal_SegEnds_Prot#'!A:AL,10,FALSE)+7,1)</f>
        <v>K</v>
      </c>
      <c r="U282" s="90" t="str">
        <f>MID(VLOOKUP($A282,Seqs!$A:$B,2,FALSE),VLOOKUP($A282,'NonXtal_SegEnds_Prot#'!A:AL,10,FALSE)+8,1)</f>
        <v>A</v>
      </c>
      <c r="V282" s="90" t="str">
        <f>MID(VLOOKUP($A282,Seqs!$A:$B,2,FALSE),VLOOKUP($A282,'NonXtal_SegEnds_Prot#'!A:AL,10,FALSE)+9,1)</f>
        <v>V</v>
      </c>
      <c r="W282" s="64" t="str">
        <f>MID(VLOOKUP($A282,Seqs!$A:$B,2,FALSE),VLOOKUP($A282,'NonXtal_SegEnds_Prot#'!$A:$AL,22,FALSE)+6,1)</f>
        <v>V</v>
      </c>
      <c r="X282" s="90" t="str">
        <f>MID(VLOOKUP($A282,Seqs!$A:$B,2,FALSE),VLOOKUP($A282,'NonXtal_SegEnds_Prot#'!$A:$AL,22,FALSE)+7,1)</f>
        <v>T</v>
      </c>
      <c r="Y282" s="90" t="str">
        <f>MID(VLOOKUP($A282,Seqs!$A:$B,2,FALSE),VLOOKUP($A282,'NonXtal_SegEnds_Prot#'!$A:$AL,22,FALSE)+8,1)</f>
        <v>C</v>
      </c>
      <c r="Z282" s="90" t="str">
        <f>MID(VLOOKUP($A282,Seqs!$A:$B,2,FALSE),VLOOKUP($A282,'NonXtal_SegEnds_Prot#'!$A:$AL,22,FALSE)+9,1)</f>
        <v>L</v>
      </c>
      <c r="AA282" s="90" t="str">
        <f>MID(VLOOKUP($A282,Seqs!$A:$B,2,FALSE),VLOOKUP($A282,'NonXtal_SegEnds_Prot#'!$A:$AL,22,FALSE)+10,1)</f>
        <v>H</v>
      </c>
      <c r="AB282" s="64" t="str">
        <f>MID(VLOOKUP($A282,Seqs!$A:$B,2,FALSE),VLOOKUP($A282,'NonXtal_SegEnds_Prot#'!$A:$AL,28,FALSE)-4,1)</f>
        <v>L</v>
      </c>
      <c r="AC282" s="90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527</v>
      </c>
      <c r="B283" s="2" t="s">
        <v>1115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64" t="str">
        <f>MID(VLOOKUP($A283,Seqs!$A:$B,2,FALSE),VLOOKUP($A283,'NonXtal_SegEnds_Prot#'!A:AL,10,FALSE),1)</f>
        <v>D</v>
      </c>
      <c r="S283" s="90" t="str">
        <f>MID(VLOOKUP($A283,Seqs!$A:$B,2,FALSE),VLOOKUP($A283,'NonXtal_SegEnds_Prot#'!A:AL,10,FALSE)+6,1)</f>
        <v>V</v>
      </c>
      <c r="T283" s="90" t="str">
        <f>MID(VLOOKUP($A283,Seqs!$A:$B,2,FALSE),VLOOKUP($A283,'NonXtal_SegEnds_Prot#'!A:AL,10,FALSE)+7,1)</f>
        <v>G</v>
      </c>
      <c r="U283" s="90" t="str">
        <f>MID(VLOOKUP($A283,Seqs!$A:$B,2,FALSE),VLOOKUP($A283,'NonXtal_SegEnds_Prot#'!A:AL,10,FALSE)+8,1)</f>
        <v>K</v>
      </c>
      <c r="V283" s="90" t="str">
        <f>MID(VLOOKUP($A283,Seqs!$A:$B,2,FALSE),VLOOKUP($A283,'NonXtal_SegEnds_Prot#'!A:AL,10,FALSE)+9,1)</f>
        <v>P</v>
      </c>
      <c r="W283" s="64" t="str">
        <f>MID(VLOOKUP($A283,Seqs!$A:$B,2,FALSE),VLOOKUP($A283,'NonXtal_SegEnds_Prot#'!$A:$AL,22,FALSE)+6,1)</f>
        <v>W</v>
      </c>
      <c r="X283" s="90" t="str">
        <f>MID(VLOOKUP($A283,Seqs!$A:$B,2,FALSE),VLOOKUP($A283,'NonXtal_SegEnds_Prot#'!$A:$AL,22,FALSE)+7,1)</f>
        <v>T</v>
      </c>
      <c r="Y283" s="90" t="str">
        <f>MID(VLOOKUP($A283,Seqs!$A:$B,2,FALSE),VLOOKUP($A283,'NonXtal_SegEnds_Prot#'!$A:$AL,22,FALSE)+8,1)</f>
        <v>T</v>
      </c>
      <c r="Z283" s="90" t="str">
        <f>MID(VLOOKUP($A283,Seqs!$A:$B,2,FALSE),VLOOKUP($A283,'NonXtal_SegEnds_Prot#'!$A:$AL,22,FALSE)+9,1)</f>
        <v>M</v>
      </c>
      <c r="AA283" s="90" t="str">
        <f>MID(VLOOKUP($A283,Seqs!$A:$B,2,FALSE),VLOOKUP($A283,'NonXtal_SegEnds_Prot#'!$A:$AL,22,FALSE)+10,1)</f>
        <v>P</v>
      </c>
      <c r="AB283" s="64" t="str">
        <f>MID(VLOOKUP($A283,Seqs!$A:$B,2,FALSE),VLOOKUP($A283,'NonXtal_SegEnds_Prot#'!$A:$AL,28,FALSE)-4,1)</f>
        <v>C</v>
      </c>
      <c r="AC283" s="90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533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64" t="str">
        <f>MID(VLOOKUP($A284,Seqs!$A:$B,2,FALSE),VLOOKUP($A284,'NonXtal_SegEnds_Prot#'!A:AL,10,FALSE),1)</f>
        <v>D</v>
      </c>
      <c r="S284" s="90" t="str">
        <f>MID(VLOOKUP($A284,Seqs!$A:$B,2,FALSE),VLOOKUP($A284,'NonXtal_SegEnds_Prot#'!A:AL,10,FALSE)+6,1)</f>
        <v>I</v>
      </c>
      <c r="T284" s="90" t="str">
        <f>MID(VLOOKUP($A284,Seqs!$A:$B,2,FALSE),VLOOKUP($A284,'NonXtal_SegEnds_Prot#'!A:AL,10,FALSE)+7,1)</f>
        <v>A</v>
      </c>
      <c r="U284" s="90" t="str">
        <f>MID(VLOOKUP($A284,Seqs!$A:$B,2,FALSE),VLOOKUP($A284,'NonXtal_SegEnds_Prot#'!A:AL,10,FALSE)+8,1)</f>
        <v>S</v>
      </c>
      <c r="V284" s="90" t="str">
        <f>MID(VLOOKUP($A284,Seqs!$A:$B,2,FALSE),VLOOKUP($A284,'NonXtal_SegEnds_Prot#'!A:AL,10,FALSE)+9,1)</f>
        <v>T</v>
      </c>
      <c r="W284" s="64" t="str">
        <f>MID(VLOOKUP($A284,Seqs!$A:$B,2,FALSE),VLOOKUP($A284,'NonXtal_SegEnds_Prot#'!$A:$AL,22,FALSE)+6,1)</f>
        <v>W</v>
      </c>
      <c r="X284" s="90" t="str">
        <f>MID(VLOOKUP($A284,Seqs!$A:$B,2,FALSE),VLOOKUP($A284,'NonXtal_SegEnds_Prot#'!$A:$AL,22,FALSE)+7,1)</f>
        <v>T</v>
      </c>
      <c r="Y284" s="90" t="str">
        <f>MID(VLOOKUP($A284,Seqs!$A:$B,2,FALSE),VLOOKUP($A284,'NonXtal_SegEnds_Prot#'!$A:$AL,22,FALSE)+8,1)</f>
        <v>A</v>
      </c>
      <c r="Z284" s="90" t="str">
        <f>MID(VLOOKUP($A284,Seqs!$A:$B,2,FALSE),VLOOKUP($A284,'NonXtal_SegEnds_Prot#'!$A:$AL,22,FALSE)+9,1)</f>
        <v>P</v>
      </c>
      <c r="AA284" s="90" t="str">
        <f>MID(VLOOKUP($A284,Seqs!$A:$B,2,FALSE),VLOOKUP($A284,'NonXtal_SegEnds_Prot#'!$A:$AL,22,FALSE)+10,1)</f>
        <v>P</v>
      </c>
      <c r="AB284" s="64" t="str">
        <f>MID(VLOOKUP($A284,Seqs!$A:$B,2,FALSE),VLOOKUP($A284,'NonXtal_SegEnds_Prot#'!$A:$AL,28,FALSE)-4,1)</f>
        <v>C</v>
      </c>
      <c r="AC284" s="90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534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64" t="str">
        <f>MID(VLOOKUP($A285,Seqs!$A:$B,2,FALSE),VLOOKUP($A285,'NonXtal_SegEnds_Prot#'!A:AL,10,FALSE),1)</f>
        <v>D</v>
      </c>
      <c r="S285" s="90" t="str">
        <f>MID(VLOOKUP($A285,Seqs!$A:$B,2,FALSE),VLOOKUP($A285,'NonXtal_SegEnds_Prot#'!A:AL,10,FALSE)+6,1)</f>
        <v>I</v>
      </c>
      <c r="T285" s="90" t="str">
        <f>MID(VLOOKUP($A285,Seqs!$A:$B,2,FALSE),VLOOKUP($A285,'NonXtal_SegEnds_Prot#'!A:AL,10,FALSE)+7,1)</f>
        <v>A</v>
      </c>
      <c r="U285" s="90" t="str">
        <f>MID(VLOOKUP($A285,Seqs!$A:$B,2,FALSE),VLOOKUP($A285,'NonXtal_SegEnds_Prot#'!A:AL,10,FALSE)+8,1)</f>
        <v>S</v>
      </c>
      <c r="V285" s="90" t="str">
        <f>MID(VLOOKUP($A285,Seqs!$A:$B,2,FALSE),VLOOKUP($A285,'NonXtal_SegEnds_Prot#'!A:AL,10,FALSE)+9,1)</f>
        <v>T</v>
      </c>
      <c r="W285" s="64" t="str">
        <f>MID(VLOOKUP($A285,Seqs!$A:$B,2,FALSE),VLOOKUP($A285,'NonXtal_SegEnds_Prot#'!$A:$AL,22,FALSE)+6,1)</f>
        <v>W</v>
      </c>
      <c r="X285" s="90" t="str">
        <f>MID(VLOOKUP($A285,Seqs!$A:$B,2,FALSE),VLOOKUP($A285,'NonXtal_SegEnds_Prot#'!$A:$AL,22,FALSE)+7,1)</f>
        <v>T</v>
      </c>
      <c r="Y285" s="90" t="str">
        <f>MID(VLOOKUP($A285,Seqs!$A:$B,2,FALSE),VLOOKUP($A285,'NonXtal_SegEnds_Prot#'!$A:$AL,22,FALSE)+8,1)</f>
        <v>A</v>
      </c>
      <c r="Z285" s="90" t="str">
        <f>MID(VLOOKUP($A285,Seqs!$A:$B,2,FALSE),VLOOKUP($A285,'NonXtal_SegEnds_Prot#'!$A:$AL,22,FALSE)+9,1)</f>
        <v>P</v>
      </c>
      <c r="AA285" s="90" t="str">
        <f>MID(VLOOKUP($A285,Seqs!$A:$B,2,FALSE),VLOOKUP($A285,'NonXtal_SegEnds_Prot#'!$A:$AL,22,FALSE)+10,1)</f>
        <v>P</v>
      </c>
      <c r="AB285" s="64" t="str">
        <f>MID(VLOOKUP($A285,Seqs!$A:$B,2,FALSE),VLOOKUP($A285,'NonXtal_SegEnds_Prot#'!$A:$AL,28,FALSE)-4,1)</f>
        <v>C</v>
      </c>
      <c r="AC285" s="90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583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64" t="str">
        <f>MID(VLOOKUP($A286,Seqs!$A:$B,2,FALSE),VLOOKUP($A286,'NonXtal_SegEnds_Prot#'!A:AL,10,FALSE),1)</f>
        <v>D</v>
      </c>
      <c r="S286" s="90" t="str">
        <f>MID(VLOOKUP($A286,Seqs!$A:$B,2,FALSE),VLOOKUP($A286,'NonXtal_SegEnds_Prot#'!A:AL,10,FALSE)+6,1)</f>
        <v>L</v>
      </c>
      <c r="T286" s="90" t="str">
        <f>MID(VLOOKUP($A286,Seqs!$A:$B,2,FALSE),VLOOKUP($A286,'NonXtal_SegEnds_Prot#'!A:AL,10,FALSE)+7,1)</f>
        <v>V</v>
      </c>
      <c r="U286" s="90" t="str">
        <f>MID(VLOOKUP($A286,Seqs!$A:$B,2,FALSE),VLOOKUP($A286,'NonXtal_SegEnds_Prot#'!A:AL,10,FALSE)+8,1)</f>
        <v>L</v>
      </c>
      <c r="V286" s="90" t="str">
        <f>MID(VLOOKUP($A286,Seqs!$A:$B,2,FALSE),VLOOKUP($A286,'NonXtal_SegEnds_Prot#'!A:AL,10,FALSE)+9,1)</f>
        <v>P</v>
      </c>
      <c r="W286" s="64" t="str">
        <f>MID(VLOOKUP($A286,Seqs!$A:$B,2,FALSE),VLOOKUP($A286,'NonXtal_SegEnds_Prot#'!$A:$AL,22,FALSE)+6,1)</f>
        <v>Y</v>
      </c>
      <c r="X286" s="90" t="str">
        <f>MID(VLOOKUP($A286,Seqs!$A:$B,2,FALSE),VLOOKUP($A286,'NonXtal_SegEnds_Prot#'!$A:$AL,22,FALSE)+7,1)</f>
        <v>T</v>
      </c>
      <c r="Y286" s="90" t="str">
        <f>MID(VLOOKUP($A286,Seqs!$A:$B,2,FALSE),VLOOKUP($A286,'NonXtal_SegEnds_Prot#'!$A:$AL,22,FALSE)+8,1)</f>
        <v>S</v>
      </c>
      <c r="Z286" s="90" t="str">
        <f>MID(VLOOKUP($A286,Seqs!$A:$B,2,FALSE),VLOOKUP($A286,'NonXtal_SegEnds_Prot#'!$A:$AL,22,FALSE)+9,1)</f>
        <v>L</v>
      </c>
      <c r="AA286" s="90" t="str">
        <f>MID(VLOOKUP($A286,Seqs!$A:$B,2,FALSE),VLOOKUP($A286,'NonXtal_SegEnds_Prot#'!$A:$AL,22,FALSE)+10,1)</f>
        <v>F</v>
      </c>
      <c r="AB286" s="64" t="str">
        <f>MID(VLOOKUP($A286,Seqs!$A:$B,2,FALSE),VLOOKUP($A286,'NonXtal_SegEnds_Prot#'!$A:$AL,28,FALSE)-4,1)</f>
        <v>L</v>
      </c>
      <c r="AC286" s="90" t="str">
        <f>MID(VLOOKUP($A286,Seqs!$A:$B,2,FALSE),VLOOKUP($A286,'NonXtal_SegEnds_Prot#'!$A:$AL,28,FALSE),1)</f>
        <v>P</v>
      </c>
    </row>
    <row r="287" spans="1:29" s="2" customFormat="1" x14ac:dyDescent="0.2">
      <c r="A287" s="2" t="s">
        <v>419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64" t="str">
        <f>MID(VLOOKUP($A287,Seqs!$A:$B,2,FALSE),VLOOKUP($A287,'NonXtal_SegEnds_Prot#'!A:AL,10,FALSE),1)</f>
        <v>D</v>
      </c>
      <c r="S287" s="90" t="str">
        <f>MID(VLOOKUP($A287,Seqs!$A:$B,2,FALSE),VLOOKUP($A287,'NonXtal_SegEnds_Prot#'!A:AL,10,FALSE)+6,1)</f>
        <v>N</v>
      </c>
      <c r="T287" s="90" t="str">
        <f>MID(VLOOKUP($A287,Seqs!$A:$B,2,FALSE),VLOOKUP($A287,'NonXtal_SegEnds_Prot#'!A:AL,10,FALSE)+7,1)</f>
        <v>I</v>
      </c>
      <c r="U287" s="90" t="str">
        <f>MID(VLOOKUP($A287,Seqs!$A:$B,2,FALSE),VLOOKUP($A287,'NonXtal_SegEnds_Prot#'!A:AL,10,FALSE)+8,1)</f>
        <v>S</v>
      </c>
      <c r="V287" s="90" t="str">
        <f>MID(VLOOKUP($A287,Seqs!$A:$B,2,FALSE),VLOOKUP($A287,'NonXtal_SegEnds_Prot#'!A:AL,10,FALSE)+9,1)</f>
        <v>I</v>
      </c>
      <c r="W287" s="64" t="str">
        <f>MID(VLOOKUP($A287,Seqs!$A:$B,2,FALSE),VLOOKUP($A287,'NonXtal_SegEnds_Prot#'!$A:$AL,22,FALSE)+6,1)</f>
        <v>Y</v>
      </c>
      <c r="X287" s="90" t="str">
        <f>MID(VLOOKUP($A287,Seqs!$A:$B,2,FALSE),VLOOKUP($A287,'NonXtal_SegEnds_Prot#'!$A:$AL,22,FALSE)+7,1)</f>
        <v>V</v>
      </c>
      <c r="Y287" s="90" t="str">
        <f>MID(VLOOKUP($A287,Seqs!$A:$B,2,FALSE),VLOOKUP($A287,'NonXtal_SegEnds_Prot#'!$A:$AL,22,FALSE)+8,1)</f>
        <v>L</v>
      </c>
      <c r="Z287" s="90" t="str">
        <f>MID(VLOOKUP($A287,Seqs!$A:$B,2,FALSE),VLOOKUP($A287,'NonXtal_SegEnds_Prot#'!$A:$AL,22,FALSE)+9,1)</f>
        <v>G</v>
      </c>
      <c r="AA287" s="90" t="str">
        <f>MID(VLOOKUP($A287,Seqs!$A:$B,2,FALSE),VLOOKUP($A287,'NonXtal_SegEnds_Prot#'!$A:$AL,22,FALSE)+10,1)</f>
        <v>D</v>
      </c>
      <c r="AB287" s="64" t="str">
        <f>MID(VLOOKUP($A287,Seqs!$A:$B,2,FALSE),VLOOKUP($A287,'NonXtal_SegEnds_Prot#'!$A:$AL,28,FALSE)-4,1)</f>
        <v>I</v>
      </c>
      <c r="AC287" s="90" t="str">
        <f>MID(VLOOKUP($A287,Seqs!$A:$B,2,FALSE),VLOOKUP($A287,'NonXtal_SegEnds_Prot#'!$A:$AL,28,FALSE),1)</f>
        <v>A</v>
      </c>
    </row>
    <row r="288" spans="1:29" s="2" customFormat="1" x14ac:dyDescent="0.2">
      <c r="A288" s="2" t="s">
        <v>466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64" t="str">
        <f>MID(VLOOKUP($A288,Seqs!$A:$B,2,FALSE),VLOOKUP($A288,'NonXtal_SegEnds_Prot#'!A:AL,10,FALSE),1)</f>
        <v>D</v>
      </c>
      <c r="S288" s="90" t="str">
        <f>MID(VLOOKUP($A288,Seqs!$A:$B,2,FALSE),VLOOKUP($A288,'NonXtal_SegEnds_Prot#'!A:AL,10,FALSE)+6,1)</f>
        <v>L</v>
      </c>
      <c r="T288" s="90" t="str">
        <f>MID(VLOOKUP($A288,Seqs!$A:$B,2,FALSE),VLOOKUP($A288,'NonXtal_SegEnds_Prot#'!A:AL,10,FALSE)+7,1)</f>
        <v>W</v>
      </c>
      <c r="U288" s="90" t="str">
        <f>MID(VLOOKUP($A288,Seqs!$A:$B,2,FALSE),VLOOKUP($A288,'NonXtal_SegEnds_Prot#'!A:AL,10,FALSE)+8,1)</f>
        <v>M</v>
      </c>
      <c r="V288" s="90" t="str">
        <f>MID(VLOOKUP($A288,Seqs!$A:$B,2,FALSE),VLOOKUP($A288,'NonXtal_SegEnds_Prot#'!A:AL,10,FALSE)+9,1)</f>
        <v>P</v>
      </c>
      <c r="W288" s="64" t="str">
        <f>MID(VLOOKUP($A288,Seqs!$A:$B,2,FALSE),VLOOKUP($A288,'NonXtal_SegEnds_Prot#'!$A:$AL,22,FALSE)+6,1)</f>
        <v>L</v>
      </c>
      <c r="X288" s="90" t="str">
        <f>MID(VLOOKUP($A288,Seqs!$A:$B,2,FALSE),VLOOKUP($A288,'NonXtal_SegEnds_Prot#'!$A:$AL,22,FALSE)+7,1)</f>
        <v>V</v>
      </c>
      <c r="Y288" s="90" t="str">
        <f>MID(VLOOKUP($A288,Seqs!$A:$B,2,FALSE),VLOOKUP($A288,'NonXtal_SegEnds_Prot#'!$A:$AL,22,FALSE)+8,1)</f>
        <v>L</v>
      </c>
      <c r="Z288" s="90" t="str">
        <f>MID(VLOOKUP($A288,Seqs!$A:$B,2,FALSE),VLOOKUP($A288,'NonXtal_SegEnds_Prot#'!$A:$AL,22,FALSE)+9,1)</f>
        <v>L</v>
      </c>
      <c r="AA288" s="90" t="str">
        <f>MID(VLOOKUP($A288,Seqs!$A:$B,2,FALSE),VLOOKUP($A288,'NonXtal_SegEnds_Prot#'!$A:$AL,22,FALSE)+10,1)</f>
        <v>L</v>
      </c>
      <c r="AB288" s="64" t="str">
        <f>MID(VLOOKUP($A288,Seqs!$A:$B,2,FALSE),VLOOKUP($A288,'NonXtal_SegEnds_Prot#'!$A:$AL,28,FALSE)-4,1)</f>
        <v>L</v>
      </c>
      <c r="AC288" s="90" t="str">
        <f>MID(VLOOKUP($A288,Seqs!$A:$B,2,FALSE),VLOOKUP($A288,'NonXtal_SegEnds_Prot#'!$A:$AL,28,FALSE),1)</f>
        <v>P</v>
      </c>
    </row>
    <row r="289" spans="1:29" s="2" customFormat="1" x14ac:dyDescent="0.2">
      <c r="A289" s="2" t="s">
        <v>497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64" t="str">
        <f>MID(VLOOKUP($A289,Seqs!$A:$B,2,FALSE),VLOOKUP($A289,'NonXtal_SegEnds_Prot#'!A:AL,10,FALSE),1)</f>
        <v>D</v>
      </c>
      <c r="S289" s="90" t="str">
        <f>MID(VLOOKUP($A289,Seqs!$A:$B,2,FALSE),VLOOKUP($A289,'NonXtal_SegEnds_Prot#'!A:AL,10,FALSE)+6,1)</f>
        <v>C</v>
      </c>
      <c r="T289" s="90" t="str">
        <f>MID(VLOOKUP($A289,Seqs!$A:$B,2,FALSE),VLOOKUP($A289,'NonXtal_SegEnds_Prot#'!A:AL,10,FALSE)+7,1)</f>
        <v>R</v>
      </c>
      <c r="U289" s="90" t="str">
        <f>MID(VLOOKUP($A289,Seqs!$A:$B,2,FALSE),VLOOKUP($A289,'NonXtal_SegEnds_Prot#'!A:AL,10,FALSE)+8,1)</f>
        <v>V</v>
      </c>
      <c r="V289" s="90" t="str">
        <f>MID(VLOOKUP($A289,Seqs!$A:$B,2,FALSE),VLOOKUP($A289,'NonXtal_SegEnds_Prot#'!A:AL,10,FALSE)+9,1)</f>
        <v>G</v>
      </c>
      <c r="W289" s="64" t="str">
        <f>MID(VLOOKUP($A289,Seqs!$A:$B,2,FALSE),VLOOKUP($A289,'NonXtal_SegEnds_Prot#'!$A:$AL,22,FALSE)+6,1)</f>
        <v>A</v>
      </c>
      <c r="X289" s="90" t="str">
        <f>MID(VLOOKUP($A289,Seqs!$A:$B,2,FALSE),VLOOKUP($A289,'NonXtal_SegEnds_Prot#'!$A:$AL,22,FALSE)+7,1)</f>
        <v>V</v>
      </c>
      <c r="Y289" s="90" t="str">
        <f>MID(VLOOKUP($A289,Seqs!$A:$B,2,FALSE),VLOOKUP($A289,'NonXtal_SegEnds_Prot#'!$A:$AL,22,FALSE)+8,1)</f>
        <v>P</v>
      </c>
      <c r="Z289" s="90" t="str">
        <f>MID(VLOOKUP($A289,Seqs!$A:$B,2,FALSE),VLOOKUP($A289,'NonXtal_SegEnds_Prot#'!$A:$AL,22,FALSE)+9,1)</f>
        <v>L</v>
      </c>
      <c r="AA289" s="90" t="str">
        <f>MID(VLOOKUP($A289,Seqs!$A:$B,2,FALSE),VLOOKUP($A289,'NonXtal_SegEnds_Prot#'!$A:$AL,22,FALSE)+10,1)</f>
        <v>P</v>
      </c>
      <c r="AB289" s="64" t="str">
        <f>MID(VLOOKUP($A289,Seqs!$A:$B,2,FALSE),VLOOKUP($A289,'NonXtal_SegEnds_Prot#'!$A:$AL,28,FALSE)-4,1)</f>
        <v>L</v>
      </c>
      <c r="AC289" s="90" t="str">
        <f>MID(VLOOKUP($A289,Seqs!$A:$B,2,FALSE),VLOOKUP($A289,'NonXtal_SegEnds_Prot#'!$A:$AL,28,FALSE),1)</f>
        <v>R</v>
      </c>
    </row>
    <row r="290" spans="1:29" s="2" customFormat="1" x14ac:dyDescent="0.2">
      <c r="A290" s="2" t="s">
        <v>339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64" t="str">
        <f>MID(VLOOKUP($A290,Seqs!$A:$B,2,FALSE),VLOOKUP($A290,'NonXtal_SegEnds_Prot#'!A:AL,10,FALSE),1)</f>
        <v>D</v>
      </c>
      <c r="S290" s="90" t="str">
        <f>MID(VLOOKUP($A290,Seqs!$A:$B,2,FALSE),VLOOKUP($A290,'NonXtal_SegEnds_Prot#'!A:AL,10,FALSE)+6,1)</f>
        <v>F</v>
      </c>
      <c r="T290" s="90" t="str">
        <f>MID(VLOOKUP($A290,Seqs!$A:$B,2,FALSE),VLOOKUP($A290,'NonXtal_SegEnds_Prot#'!A:AL,10,FALSE)+7,1)</f>
        <v>S</v>
      </c>
      <c r="U290" s="90" t="str">
        <f>MID(VLOOKUP($A290,Seqs!$A:$B,2,FALSE),VLOOKUP($A290,'NonXtal_SegEnds_Prot#'!A:AL,10,FALSE)+8,1)</f>
        <v>M</v>
      </c>
      <c r="V290" s="90" t="str">
        <f>MID(VLOOKUP($A290,Seqs!$A:$B,2,FALSE),VLOOKUP($A290,'NonXtal_SegEnds_Prot#'!A:AL,10,FALSE)+9,1)</f>
        <v>N</v>
      </c>
      <c r="W290" s="64" t="str">
        <f>MID(VLOOKUP($A290,Seqs!$A:$B,2,FALSE),VLOOKUP($A290,'NonXtal_SegEnds_Prot#'!$A:$AL,22,FALSE)+6,1)</f>
        <v>L</v>
      </c>
      <c r="X290" s="90" t="str">
        <f>MID(VLOOKUP($A290,Seqs!$A:$B,2,FALSE),VLOOKUP($A290,'NonXtal_SegEnds_Prot#'!$A:$AL,22,FALSE)+7,1)</f>
        <v>W</v>
      </c>
      <c r="Y290" s="90" t="str">
        <f>MID(VLOOKUP($A290,Seqs!$A:$B,2,FALSE),VLOOKUP($A290,'NonXtal_SegEnds_Prot#'!$A:$AL,22,FALSE)+8,1)</f>
        <v>A</v>
      </c>
      <c r="Z290" s="90" t="str">
        <f>MID(VLOOKUP($A290,Seqs!$A:$B,2,FALSE),VLOOKUP($A290,'NonXtal_SegEnds_Prot#'!$A:$AL,22,FALSE)+9,1)</f>
        <v>P</v>
      </c>
      <c r="AA290" s="90" t="str">
        <f>MID(VLOOKUP($A290,Seqs!$A:$B,2,FALSE),VLOOKUP($A290,'NonXtal_SegEnds_Prot#'!$A:$AL,22,FALSE)+10,1)</f>
        <v>A</v>
      </c>
      <c r="AB290" s="64" t="str">
        <f>MID(VLOOKUP($A290,Seqs!$A:$B,2,FALSE),VLOOKUP($A290,'NonXtal_SegEnds_Prot#'!$A:$AL,28,FALSE)-4,1)</f>
        <v>A</v>
      </c>
      <c r="AC290" s="90" t="str">
        <f>MID(VLOOKUP($A290,Seqs!$A:$B,2,FALSE),VLOOKUP($A290,'NonXtal_SegEnds_Prot#'!$A:$AL,28,FALSE),1)</f>
        <v>P</v>
      </c>
    </row>
    <row r="291" spans="1:29" s="2" customFormat="1" x14ac:dyDescent="0.2">
      <c r="A291" s="2" t="s">
        <v>340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64" t="str">
        <f>MID(VLOOKUP($A291,Seqs!$A:$B,2,FALSE),VLOOKUP($A291,'NonXtal_SegEnds_Prot#'!A:AL,10,FALSE),1)</f>
        <v>D</v>
      </c>
      <c r="S291" s="90" t="str">
        <f>MID(VLOOKUP($A291,Seqs!$A:$B,2,FALSE),VLOOKUP($A291,'NonXtal_SegEnds_Prot#'!A:AL,10,FALSE)+6,1)</f>
        <v>F</v>
      </c>
      <c r="T291" s="90" t="str">
        <f>MID(VLOOKUP($A291,Seqs!$A:$B,2,FALSE),VLOOKUP($A291,'NonXtal_SegEnds_Prot#'!A:AL,10,FALSE)+7,1)</f>
        <v>S</v>
      </c>
      <c r="U291" s="90" t="str">
        <f>MID(VLOOKUP($A291,Seqs!$A:$B,2,FALSE),VLOOKUP($A291,'NonXtal_SegEnds_Prot#'!A:AL,10,FALSE)+8,1)</f>
        <v>M</v>
      </c>
      <c r="V291" s="90" t="str">
        <f>MID(VLOOKUP($A291,Seqs!$A:$B,2,FALSE),VLOOKUP($A291,'NonXtal_SegEnds_Prot#'!A:AL,10,FALSE)+9,1)</f>
        <v>N</v>
      </c>
      <c r="W291" s="64" t="str">
        <f>MID(VLOOKUP($A291,Seqs!$A:$B,2,FALSE),VLOOKUP($A291,'NonXtal_SegEnds_Prot#'!$A:$AL,22,FALSE)+6,1)</f>
        <v>L</v>
      </c>
      <c r="X291" s="90" t="str">
        <f>MID(VLOOKUP($A291,Seqs!$A:$B,2,FALSE),VLOOKUP($A291,'NonXtal_SegEnds_Prot#'!$A:$AL,22,FALSE)+7,1)</f>
        <v>W</v>
      </c>
      <c r="Y291" s="90" t="str">
        <f>MID(VLOOKUP($A291,Seqs!$A:$B,2,FALSE),VLOOKUP($A291,'NonXtal_SegEnds_Prot#'!$A:$AL,22,FALSE)+8,1)</f>
        <v>A</v>
      </c>
      <c r="Z291" s="90" t="str">
        <f>MID(VLOOKUP($A291,Seqs!$A:$B,2,FALSE),VLOOKUP($A291,'NonXtal_SegEnds_Prot#'!$A:$AL,22,FALSE)+9,1)</f>
        <v>P</v>
      </c>
      <c r="AA291" s="90" t="str">
        <f>MID(VLOOKUP($A291,Seqs!$A:$B,2,FALSE),VLOOKUP($A291,'NonXtal_SegEnds_Prot#'!$A:$AL,22,FALSE)+10,1)</f>
        <v>A</v>
      </c>
      <c r="AB291" s="64" t="str">
        <f>MID(VLOOKUP($A291,Seqs!$A:$B,2,FALSE),VLOOKUP($A291,'NonXtal_SegEnds_Prot#'!$A:$AL,28,FALSE)-4,1)</f>
        <v>A</v>
      </c>
      <c r="AC291" s="90" t="str">
        <f>MID(VLOOKUP($A291,Seqs!$A:$B,2,FALSE),VLOOKUP($A291,'NonXtal_SegEnds_Prot#'!$A:$AL,28,FALSE),1)</f>
        <v>P</v>
      </c>
    </row>
    <row r="292" spans="1:29" s="2" customFormat="1" x14ac:dyDescent="0.2">
      <c r="A292" s="2" t="s">
        <v>341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64" t="str">
        <f>MID(VLOOKUP($A292,Seqs!$A:$B,2,FALSE),VLOOKUP($A292,'NonXtal_SegEnds_Prot#'!A:AL,10,FALSE),1)</f>
        <v>D</v>
      </c>
      <c r="S292" s="90" t="str">
        <f>MID(VLOOKUP($A292,Seqs!$A:$B,2,FALSE),VLOOKUP($A292,'NonXtal_SegEnds_Prot#'!A:AL,10,FALSE)+6,1)</f>
        <v>I</v>
      </c>
      <c r="T292" s="90" t="str">
        <f>MID(VLOOKUP($A292,Seqs!$A:$B,2,FALSE),VLOOKUP($A292,'NonXtal_SegEnds_Prot#'!A:AL,10,FALSE)+7,1)</f>
        <v>S</v>
      </c>
      <c r="U292" s="90" t="str">
        <f>MID(VLOOKUP($A292,Seqs!$A:$B,2,FALSE),VLOOKUP($A292,'NonXtal_SegEnds_Prot#'!A:AL,10,FALSE)+8,1)</f>
        <v>M</v>
      </c>
      <c r="V292" s="90" t="str">
        <f>MID(VLOOKUP($A292,Seqs!$A:$B,2,FALSE),VLOOKUP($A292,'NonXtal_SegEnds_Prot#'!A:AL,10,FALSE)+9,1)</f>
        <v>N</v>
      </c>
      <c r="W292" s="64" t="str">
        <f>MID(VLOOKUP($A292,Seqs!$A:$B,2,FALSE),VLOOKUP($A292,'NonXtal_SegEnds_Prot#'!$A:$AL,22,FALSE)+6,1)</f>
        <v>L</v>
      </c>
      <c r="X292" s="90" t="str">
        <f>MID(VLOOKUP($A292,Seqs!$A:$B,2,FALSE),VLOOKUP($A292,'NonXtal_SegEnds_Prot#'!$A:$AL,22,FALSE)+7,1)</f>
        <v>W</v>
      </c>
      <c r="Y292" s="90" t="str">
        <f>MID(VLOOKUP($A292,Seqs!$A:$B,2,FALSE),VLOOKUP($A292,'NonXtal_SegEnds_Prot#'!$A:$AL,22,FALSE)+8,1)</f>
        <v>A</v>
      </c>
      <c r="Z292" s="90" t="str">
        <f>MID(VLOOKUP($A292,Seqs!$A:$B,2,FALSE),VLOOKUP($A292,'NonXtal_SegEnds_Prot#'!$A:$AL,22,FALSE)+9,1)</f>
        <v>P</v>
      </c>
      <c r="AA292" s="90" t="str">
        <f>MID(VLOOKUP($A292,Seqs!$A:$B,2,FALSE),VLOOKUP($A292,'NonXtal_SegEnds_Prot#'!$A:$AL,22,FALSE)+10,1)</f>
        <v>A</v>
      </c>
      <c r="AB292" s="64" t="str">
        <f>MID(VLOOKUP($A292,Seqs!$A:$B,2,FALSE),VLOOKUP($A292,'NonXtal_SegEnds_Prot#'!$A:$AL,28,FALSE)-4,1)</f>
        <v>A</v>
      </c>
      <c r="AC292" s="90" t="str">
        <f>MID(VLOOKUP($A292,Seqs!$A:$B,2,FALSE),VLOOKUP($A292,'NonXtal_SegEnds_Prot#'!$A:$AL,28,FALSE),1)</f>
        <v>P</v>
      </c>
    </row>
    <row r="293" spans="1:29" s="2" customFormat="1" x14ac:dyDescent="0.2">
      <c r="A293" s="2" t="s">
        <v>1105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64" t="str">
        <f>MID(VLOOKUP($A293,Seqs!$A:$B,2,FALSE),VLOOKUP($A293,'NonXtal_SegEnds_Prot#'!A:AL,10,FALSE),1)</f>
        <v>D</v>
      </c>
      <c r="S293" s="90" t="str">
        <f>MID(VLOOKUP($A293,Seqs!$A:$B,2,FALSE),VLOOKUP($A293,'NonXtal_SegEnds_Prot#'!A:AL,10,FALSE)+6,1)</f>
        <v>I</v>
      </c>
      <c r="T293" s="90" t="str">
        <f>MID(VLOOKUP($A293,Seqs!$A:$B,2,FALSE),VLOOKUP($A293,'NonXtal_SegEnds_Prot#'!A:AL,10,FALSE)+7,1)</f>
        <v>S</v>
      </c>
      <c r="U293" s="90" t="str">
        <f>MID(VLOOKUP($A293,Seqs!$A:$B,2,FALSE),VLOOKUP($A293,'NonXtal_SegEnds_Prot#'!A:AL,10,FALSE)+8,1)</f>
        <v>M</v>
      </c>
      <c r="V293" s="90" t="str">
        <f>MID(VLOOKUP($A293,Seqs!$A:$B,2,FALSE),VLOOKUP($A293,'NonXtal_SegEnds_Prot#'!A:AL,10,FALSE)+9,1)</f>
        <v>N</v>
      </c>
      <c r="W293" s="64" t="str">
        <f>MID(VLOOKUP($A293,Seqs!$A:$B,2,FALSE),VLOOKUP($A293,'NonXtal_SegEnds_Prot#'!$A:$AL,22,FALSE)+6,1)</f>
        <v>L</v>
      </c>
      <c r="X293" s="90" t="str">
        <f>MID(VLOOKUP($A293,Seqs!$A:$B,2,FALSE),VLOOKUP($A293,'NonXtal_SegEnds_Prot#'!$A:$AL,22,FALSE)+7,1)</f>
        <v>W</v>
      </c>
      <c r="Y293" s="90" t="str">
        <f>MID(VLOOKUP($A293,Seqs!$A:$B,2,FALSE),VLOOKUP($A293,'NonXtal_SegEnds_Prot#'!$A:$AL,22,FALSE)+8,1)</f>
        <v>A</v>
      </c>
      <c r="Z293" s="90" t="str">
        <f>MID(VLOOKUP($A293,Seqs!$A:$B,2,FALSE),VLOOKUP($A293,'NonXtal_SegEnds_Prot#'!$A:$AL,22,FALSE)+9,1)</f>
        <v>P</v>
      </c>
      <c r="AA293" s="90" t="str">
        <f>MID(VLOOKUP($A293,Seqs!$A:$B,2,FALSE),VLOOKUP($A293,'NonXtal_SegEnds_Prot#'!$A:$AL,22,FALSE)+10,1)</f>
        <v>A</v>
      </c>
      <c r="AB293" s="64" t="str">
        <f>MID(VLOOKUP($A293,Seqs!$A:$B,2,FALSE),VLOOKUP($A293,'NonXtal_SegEnds_Prot#'!$A:$AL,28,FALSE)-4,1)</f>
        <v>A</v>
      </c>
      <c r="AC293" s="90" t="str">
        <f>MID(VLOOKUP($A293,Seqs!$A:$B,2,FALSE),VLOOKUP($A293,'NonXtal_SegEnds_Prot#'!$A:$AL,28,FALSE),1)</f>
        <v>P</v>
      </c>
    </row>
    <row r="294" spans="1:29" s="2" customFormat="1" x14ac:dyDescent="0.2">
      <c r="A294" s="2" t="s">
        <v>342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64" t="str">
        <f>MID(VLOOKUP($A294,Seqs!$A:$B,2,FALSE),VLOOKUP($A294,'NonXtal_SegEnds_Prot#'!A:AL,10,FALSE),1)</f>
        <v>D</v>
      </c>
      <c r="S294" s="90" t="str">
        <f>MID(VLOOKUP($A294,Seqs!$A:$B,2,FALSE),VLOOKUP($A294,'NonXtal_SegEnds_Prot#'!A:AL,10,FALSE)+6,1)</f>
        <v>F</v>
      </c>
      <c r="T294" s="90" t="str">
        <f>MID(VLOOKUP($A294,Seqs!$A:$B,2,FALSE),VLOOKUP($A294,'NonXtal_SegEnds_Prot#'!A:AL,10,FALSE)+7,1)</f>
        <v>S</v>
      </c>
      <c r="U294" s="90" t="str">
        <f>MID(VLOOKUP($A294,Seqs!$A:$B,2,FALSE),VLOOKUP($A294,'NonXtal_SegEnds_Prot#'!A:AL,10,FALSE)+8,1)</f>
        <v>M</v>
      </c>
      <c r="V294" s="90" t="str">
        <f>MID(VLOOKUP($A294,Seqs!$A:$B,2,FALSE),VLOOKUP($A294,'NonXtal_SegEnds_Prot#'!A:AL,10,FALSE)+9,1)</f>
        <v>N</v>
      </c>
      <c r="W294" s="64" t="str">
        <f>MID(VLOOKUP($A294,Seqs!$A:$B,2,FALSE),VLOOKUP($A294,'NonXtal_SegEnds_Prot#'!$A:$AL,22,FALSE)+6,1)</f>
        <v>L</v>
      </c>
      <c r="X294" s="90" t="str">
        <f>MID(VLOOKUP($A294,Seqs!$A:$B,2,FALSE),VLOOKUP($A294,'NonXtal_SegEnds_Prot#'!$A:$AL,22,FALSE)+7,1)</f>
        <v>W</v>
      </c>
      <c r="Y294" s="90" t="str">
        <f>MID(VLOOKUP($A294,Seqs!$A:$B,2,FALSE),VLOOKUP($A294,'NonXtal_SegEnds_Prot#'!$A:$AL,22,FALSE)+8,1)</f>
        <v>A</v>
      </c>
      <c r="Z294" s="90" t="str">
        <f>MID(VLOOKUP($A294,Seqs!$A:$B,2,FALSE),VLOOKUP($A294,'NonXtal_SegEnds_Prot#'!$A:$AL,22,FALSE)+9,1)</f>
        <v>P</v>
      </c>
      <c r="AA294" s="90" t="str">
        <f>MID(VLOOKUP($A294,Seqs!$A:$B,2,FALSE),VLOOKUP($A294,'NonXtal_SegEnds_Prot#'!$A:$AL,22,FALSE)+10,1)</f>
        <v>A</v>
      </c>
      <c r="AB294" s="64" t="str">
        <f>MID(VLOOKUP($A294,Seqs!$A:$B,2,FALSE),VLOOKUP($A294,'NonXtal_SegEnds_Prot#'!$A:$AL,28,FALSE)-4,1)</f>
        <v>A</v>
      </c>
      <c r="AC294" s="90" t="str">
        <f>MID(VLOOKUP($A294,Seqs!$A:$B,2,FALSE),VLOOKUP($A294,'NonXtal_SegEnds_Prot#'!$A:$AL,28,FALSE),1)</f>
        <v>P</v>
      </c>
    </row>
    <row r="295" spans="1:29" s="2" customFormat="1" x14ac:dyDescent="0.2">
      <c r="A295" s="2" t="s">
        <v>343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64" t="str">
        <f>MID(VLOOKUP($A295,Seqs!$A:$B,2,FALSE),VLOOKUP($A295,'NonXtal_SegEnds_Prot#'!A:AL,10,FALSE),1)</f>
        <v>D</v>
      </c>
      <c r="S295" s="90" t="str">
        <f>MID(VLOOKUP($A295,Seqs!$A:$B,2,FALSE),VLOOKUP($A295,'NonXtal_SegEnds_Prot#'!A:AL,10,FALSE)+6,1)</f>
        <v>F</v>
      </c>
      <c r="T295" s="90" t="str">
        <f>MID(VLOOKUP($A295,Seqs!$A:$B,2,FALSE),VLOOKUP($A295,'NonXtal_SegEnds_Prot#'!A:AL,10,FALSE)+7,1)</f>
        <v>S</v>
      </c>
      <c r="U295" s="90" t="str">
        <f>MID(VLOOKUP($A295,Seqs!$A:$B,2,FALSE),VLOOKUP($A295,'NonXtal_SegEnds_Prot#'!A:AL,10,FALSE)+8,1)</f>
        <v>M</v>
      </c>
      <c r="V295" s="90" t="str">
        <f>MID(VLOOKUP($A295,Seqs!$A:$B,2,FALSE),VLOOKUP($A295,'NonXtal_SegEnds_Prot#'!A:AL,10,FALSE)+9,1)</f>
        <v>N</v>
      </c>
      <c r="W295" s="64" t="str">
        <f>MID(VLOOKUP($A295,Seqs!$A:$B,2,FALSE),VLOOKUP($A295,'NonXtal_SegEnds_Prot#'!$A:$AL,22,FALSE)+6,1)</f>
        <v>L</v>
      </c>
      <c r="X295" s="90" t="str">
        <f>MID(VLOOKUP($A295,Seqs!$A:$B,2,FALSE),VLOOKUP($A295,'NonXtal_SegEnds_Prot#'!$A:$AL,22,FALSE)+7,1)</f>
        <v>W</v>
      </c>
      <c r="Y295" s="90" t="str">
        <f>MID(VLOOKUP($A295,Seqs!$A:$B,2,FALSE),VLOOKUP($A295,'NonXtal_SegEnds_Prot#'!$A:$AL,22,FALSE)+8,1)</f>
        <v>A</v>
      </c>
      <c r="Z295" s="90" t="str">
        <f>MID(VLOOKUP($A295,Seqs!$A:$B,2,FALSE),VLOOKUP($A295,'NonXtal_SegEnds_Prot#'!$A:$AL,22,FALSE)+9,1)</f>
        <v>P</v>
      </c>
      <c r="AA295" s="90" t="str">
        <f>MID(VLOOKUP($A295,Seqs!$A:$B,2,FALSE),VLOOKUP($A295,'NonXtal_SegEnds_Prot#'!$A:$AL,22,FALSE)+10,1)</f>
        <v>A</v>
      </c>
      <c r="AB295" s="64" t="str">
        <f>MID(VLOOKUP($A295,Seqs!$A:$B,2,FALSE),VLOOKUP($A295,'NonXtal_SegEnds_Prot#'!$A:$AL,28,FALSE)-4,1)</f>
        <v>A</v>
      </c>
      <c r="AC295" s="90" t="str">
        <f>MID(VLOOKUP($A295,Seqs!$A:$B,2,FALSE),VLOOKUP($A295,'NonXtal_SegEnds_Prot#'!$A:$AL,28,FALSE),1)</f>
        <v>P</v>
      </c>
    </row>
    <row r="296" spans="1:29" s="2" customFormat="1" x14ac:dyDescent="0.2">
      <c r="A296" s="2" t="s">
        <v>598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1554</v>
      </c>
      <c r="P296" s="4" t="s">
        <v>51</v>
      </c>
      <c r="R296" s="64" t="str">
        <f>MID(VLOOKUP($A296,Seqs!$A:$B,2,FALSE),VLOOKUP($A296,'NonXtal_SegEnds_Prot#'!A:AL,10,FALSE),1)</f>
        <v>F</v>
      </c>
      <c r="S296" s="90" t="str">
        <f>MID(VLOOKUP($A296,Seqs!$A:$B,2,FALSE),VLOOKUP($A296,'NonXtal_SegEnds_Prot#'!A:AL,10,FALSE)+6,1)</f>
        <v>A</v>
      </c>
      <c r="T296" s="90" t="str">
        <f>MID(VLOOKUP($A296,Seqs!$A:$B,2,FALSE),VLOOKUP($A296,'NonXtal_SegEnds_Prot#'!A:AL,10,FALSE)+7,1)</f>
        <v>I</v>
      </c>
      <c r="U296" s="90" t="str">
        <f>MID(VLOOKUP($A296,Seqs!$A:$B,2,FALSE),VLOOKUP($A296,'NonXtal_SegEnds_Prot#'!A:AL,10,FALSE)+8,1)</f>
        <v>L</v>
      </c>
      <c r="V296" s="90" t="str">
        <f>MID(VLOOKUP($A296,Seqs!$A:$B,2,FALSE),VLOOKUP($A296,'NonXtal_SegEnds_Prot#'!A:AL,10,FALSE)+9,1)</f>
        <v>S</v>
      </c>
      <c r="W296" s="64" t="str">
        <f>MID(VLOOKUP($A296,Seqs!$A:$B,2,FALSE),VLOOKUP($A296,'NonXtal_SegEnds_Prot#'!$A:$AL,22,FALSE)+6,1)</f>
        <v>F</v>
      </c>
      <c r="X296" s="90" t="str">
        <f>MID(VLOOKUP($A296,Seqs!$A:$B,2,FALSE),VLOOKUP($A296,'NonXtal_SegEnds_Prot#'!$A:$AL,22,FALSE)+7,1)</f>
        <v>V</v>
      </c>
      <c r="Y296" s="90" t="str">
        <f>MID(VLOOKUP($A296,Seqs!$A:$B,2,FALSE),VLOOKUP($A296,'NonXtal_SegEnds_Prot#'!$A:$AL,22,FALSE)+8,1)</f>
        <v>I</v>
      </c>
      <c r="Z296" s="90" t="str">
        <f>MID(VLOOKUP($A296,Seqs!$A:$B,2,FALSE),VLOOKUP($A296,'NonXtal_SegEnds_Prot#'!$A:$AL,22,FALSE)+9,1)</f>
        <v>P</v>
      </c>
      <c r="AA296" s="90" t="str">
        <f>MID(VLOOKUP($A296,Seqs!$A:$B,2,FALSE),VLOOKUP($A296,'NonXtal_SegEnds_Prot#'!$A:$AL,22,FALSE)+10,1)</f>
        <v>W</v>
      </c>
      <c r="AB296" s="64" t="str">
        <f>MID(VLOOKUP($A296,Seqs!$A:$B,2,FALSE),VLOOKUP($A296,'NonXtal_SegEnds_Prot#'!$A:$AL,28,FALSE)-4,1)</f>
        <v>P</v>
      </c>
      <c r="AC296" s="90" t="str">
        <f>MID(VLOOKUP($A296,Seqs!$A:$B,2,FALSE),VLOOKUP($A296,'NonXtal_SegEnds_Prot#'!$A:$AL,28,FALSE),1)</f>
        <v>T</v>
      </c>
    </row>
    <row r="297" spans="1:29" s="2" customFormat="1" x14ac:dyDescent="0.2">
      <c r="A297" s="2" t="s">
        <v>599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1554</v>
      </c>
      <c r="P297" s="4" t="s">
        <v>51</v>
      </c>
      <c r="R297" s="64" t="str">
        <f>MID(VLOOKUP($A297,Seqs!$A:$B,2,FALSE),VLOOKUP($A297,'NonXtal_SegEnds_Prot#'!A:AL,10,FALSE),1)</f>
        <v>F</v>
      </c>
      <c r="S297" s="90" t="str">
        <f>MID(VLOOKUP($A297,Seqs!$A:$B,2,FALSE),VLOOKUP($A297,'NonXtal_SegEnds_Prot#'!A:AL,10,FALSE)+6,1)</f>
        <v>S</v>
      </c>
      <c r="T297" s="90" t="str">
        <f>MID(VLOOKUP($A297,Seqs!$A:$B,2,FALSE),VLOOKUP($A297,'NonXtal_SegEnds_Prot#'!A:AL,10,FALSE)+7,1)</f>
        <v>V</v>
      </c>
      <c r="U297" s="90" t="str">
        <f>MID(VLOOKUP($A297,Seqs!$A:$B,2,FALSE),VLOOKUP($A297,'NonXtal_SegEnds_Prot#'!A:AL,10,FALSE)+8,1)</f>
        <v>F</v>
      </c>
      <c r="V297" s="90" t="str">
        <f>MID(VLOOKUP($A297,Seqs!$A:$B,2,FALSE),VLOOKUP($A297,'NonXtal_SegEnds_Prot#'!A:AL,10,FALSE)+9,1)</f>
        <v>I</v>
      </c>
      <c r="W297" s="64" t="str">
        <f>MID(VLOOKUP($A297,Seqs!$A:$B,2,FALSE),VLOOKUP($A297,'NonXtal_SegEnds_Prot#'!$A:$AL,22,FALSE)+6,1)</f>
        <v>F</v>
      </c>
      <c r="X297" s="90" t="str">
        <f>MID(VLOOKUP($A297,Seqs!$A:$B,2,FALSE),VLOOKUP($A297,'NonXtal_SegEnds_Prot#'!$A:$AL,22,FALSE)+7,1)</f>
        <v>V</v>
      </c>
      <c r="Y297" s="90" t="str">
        <f>MID(VLOOKUP($A297,Seqs!$A:$B,2,FALSE),VLOOKUP($A297,'NonXtal_SegEnds_Prot#'!$A:$AL,22,FALSE)+8,1)</f>
        <v>V</v>
      </c>
      <c r="Z297" s="90" t="str">
        <f>MID(VLOOKUP($A297,Seqs!$A:$B,2,FALSE),VLOOKUP($A297,'NonXtal_SegEnds_Prot#'!$A:$AL,22,FALSE)+9,1)</f>
        <v>P</v>
      </c>
      <c r="AA297" s="90" t="str">
        <f>MID(VLOOKUP($A297,Seqs!$A:$B,2,FALSE),VLOOKUP($A297,'NonXtal_SegEnds_Prot#'!$A:$AL,22,FALSE)+10,1)</f>
        <v>W</v>
      </c>
      <c r="AB297" s="64" t="str">
        <f>MID(VLOOKUP($A297,Seqs!$A:$B,2,FALSE),VLOOKUP($A297,'NonXtal_SegEnds_Prot#'!$A:$AL,28,FALSE)-4,1)</f>
        <v>P</v>
      </c>
      <c r="AC297" s="90" t="str">
        <f>MID(VLOOKUP($A297,Seqs!$A:$B,2,FALSE),VLOOKUP($A297,'NonXtal_SegEnds_Prot#'!$A:$AL,28,FALSE),1)</f>
        <v>A</v>
      </c>
    </row>
    <row r="298" spans="1:29" s="2" customFormat="1" x14ac:dyDescent="0.2">
      <c r="A298" s="2" t="s">
        <v>600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1554</v>
      </c>
      <c r="P298" s="4" t="s">
        <v>51</v>
      </c>
      <c r="R298" s="64" t="str">
        <f>MID(VLOOKUP($A298,Seqs!$A:$B,2,FALSE),VLOOKUP($A298,'NonXtal_SegEnds_Prot#'!A:AL,10,FALSE),1)</f>
        <v>F</v>
      </c>
      <c r="S298" s="90" t="str">
        <f>MID(VLOOKUP($A298,Seqs!$A:$B,2,FALSE),VLOOKUP($A298,'NonXtal_SegEnds_Prot#'!A:AL,10,FALSE)+6,1)</f>
        <v>A</v>
      </c>
      <c r="T298" s="90" t="str">
        <f>MID(VLOOKUP($A298,Seqs!$A:$B,2,FALSE),VLOOKUP($A298,'NonXtal_SegEnds_Prot#'!A:AL,10,FALSE)+7,1)</f>
        <v>V</v>
      </c>
      <c r="U298" s="90" t="str">
        <f>MID(VLOOKUP($A298,Seqs!$A:$B,2,FALSE),VLOOKUP($A298,'NonXtal_SegEnds_Prot#'!A:AL,10,FALSE)+8,1)</f>
        <v>L</v>
      </c>
      <c r="V298" s="90" t="str">
        <f>MID(VLOOKUP($A298,Seqs!$A:$B,2,FALSE),VLOOKUP($A298,'NonXtal_SegEnds_Prot#'!A:AL,10,FALSE)+9,1)</f>
        <v>V</v>
      </c>
      <c r="W298" s="64" t="str">
        <f>MID(VLOOKUP($A298,Seqs!$A:$B,2,FALSE),VLOOKUP($A298,'NonXtal_SegEnds_Prot#'!$A:$AL,22,FALSE)+6,1)</f>
        <v>F</v>
      </c>
      <c r="X298" s="90" t="str">
        <f>MID(VLOOKUP($A298,Seqs!$A:$B,2,FALSE),VLOOKUP($A298,'NonXtal_SegEnds_Prot#'!$A:$AL,22,FALSE)+7,1)</f>
        <v>V</v>
      </c>
      <c r="Y298" s="90" t="str">
        <f>MID(VLOOKUP($A298,Seqs!$A:$B,2,FALSE),VLOOKUP($A298,'NonXtal_SegEnds_Prot#'!$A:$AL,22,FALSE)+8,1)</f>
        <v>V</v>
      </c>
      <c r="Z298" s="90" t="str">
        <f>MID(VLOOKUP($A298,Seqs!$A:$B,2,FALSE),VLOOKUP($A298,'NonXtal_SegEnds_Prot#'!$A:$AL,22,FALSE)+9,1)</f>
        <v>P</v>
      </c>
      <c r="AA298" s="90" t="str">
        <f>MID(VLOOKUP($A298,Seqs!$A:$B,2,FALSE),VLOOKUP($A298,'NonXtal_SegEnds_Prot#'!$A:$AL,22,FALSE)+10,1)</f>
        <v>W</v>
      </c>
      <c r="AB298" s="64" t="str">
        <f>MID(VLOOKUP($A298,Seqs!$A:$B,2,FALSE),VLOOKUP($A298,'NonXtal_SegEnds_Prot#'!$A:$AL,28,FALSE)-4,1)</f>
        <v>P</v>
      </c>
      <c r="AC298" s="90" t="str">
        <f>MID(VLOOKUP($A298,Seqs!$A:$B,2,FALSE),VLOOKUP($A298,'NonXtal_SegEnds_Prot#'!$A:$AL,28,FALSE),1)</f>
        <v>C</v>
      </c>
    </row>
    <row r="299" spans="1:29" s="2" customFormat="1" x14ac:dyDescent="0.2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1554</v>
      </c>
      <c r="P299" s="4" t="s">
        <v>51</v>
      </c>
      <c r="R299" s="64" t="str">
        <f>MID(VLOOKUP($A299,Seqs!$A:$B,2,FALSE),VLOOKUP($A299,'NonXtal_SegEnds_Prot#'!A:AL,10,FALSE),1)</f>
        <v>F</v>
      </c>
      <c r="S299" s="90" t="str">
        <f>MID(VLOOKUP($A299,Seqs!$A:$B,2,FALSE),VLOOKUP($A299,'NonXtal_SegEnds_Prot#'!A:AL,10,FALSE)+6,1)</f>
        <v>S</v>
      </c>
      <c r="T299" s="90" t="str">
        <f>MID(VLOOKUP($A299,Seqs!$A:$B,2,FALSE),VLOOKUP($A299,'NonXtal_SegEnds_Prot#'!A:AL,10,FALSE)+7,1)</f>
        <v>V</v>
      </c>
      <c r="U299" s="90" t="str">
        <f>MID(VLOOKUP($A299,Seqs!$A:$B,2,FALSE),VLOOKUP($A299,'NonXtal_SegEnds_Prot#'!A:AL,10,FALSE)+8,1)</f>
        <v>L</v>
      </c>
      <c r="V299" s="90" t="str">
        <f>MID(VLOOKUP($A299,Seqs!$A:$B,2,FALSE),VLOOKUP($A299,'NonXtal_SegEnds_Prot#'!A:AL,10,FALSE)+9,1)</f>
        <v>V</v>
      </c>
      <c r="W299" s="64" t="str">
        <f>MID(VLOOKUP($A299,Seqs!$A:$B,2,FALSE),VLOOKUP($A299,'NonXtal_SegEnds_Prot#'!$A:$AL,22,FALSE)+6,1)</f>
        <v>F</v>
      </c>
      <c r="X299" s="90" t="str">
        <f>MID(VLOOKUP($A299,Seqs!$A:$B,2,FALSE),VLOOKUP($A299,'NonXtal_SegEnds_Prot#'!$A:$AL,22,FALSE)+7,1)</f>
        <v>V</v>
      </c>
      <c r="Y299" s="90" t="str">
        <f>MID(VLOOKUP($A299,Seqs!$A:$B,2,FALSE),VLOOKUP($A299,'NonXtal_SegEnds_Prot#'!$A:$AL,22,FALSE)+8,1)</f>
        <v>V</v>
      </c>
      <c r="Z299" s="90" t="str">
        <f>MID(VLOOKUP($A299,Seqs!$A:$B,2,FALSE),VLOOKUP($A299,'NonXtal_SegEnds_Prot#'!$A:$AL,22,FALSE)+9,1)</f>
        <v>P</v>
      </c>
      <c r="AA299" s="90" t="str">
        <f>MID(VLOOKUP($A299,Seqs!$A:$B,2,FALSE),VLOOKUP($A299,'NonXtal_SegEnds_Prot#'!$A:$AL,22,FALSE)+10,1)</f>
        <v>W</v>
      </c>
      <c r="AB299" s="64" t="str">
        <f>MID(VLOOKUP($A299,Seqs!$A:$B,2,FALSE),VLOOKUP($A299,'NonXtal_SegEnds_Prot#'!$A:$AL,28,FALSE)-4,1)</f>
        <v>P</v>
      </c>
      <c r="AC299" s="90" t="str">
        <f>MID(VLOOKUP($A299,Seqs!$A:$B,2,FALSE),VLOOKUP($A299,'NonXtal_SegEnds_Prot#'!$A:$AL,28,FALSE),1)</f>
        <v>A</v>
      </c>
    </row>
    <row r="300" spans="1:29" s="2" customFormat="1" x14ac:dyDescent="0.2">
      <c r="A300" s="2" t="s">
        <v>595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64" t="str">
        <f>MID(VLOOKUP($A300,Seqs!$A:$B,2,FALSE),VLOOKUP($A300,'NonXtal_SegEnds_Prot#'!A:AL,10,FALSE),1)</f>
        <v>F</v>
      </c>
      <c r="S300" s="90" t="str">
        <f>MID(VLOOKUP($A300,Seqs!$A:$B,2,FALSE),VLOOKUP($A300,'NonXtal_SegEnds_Prot#'!A:AL,10,FALSE)+6,1)</f>
        <v>V</v>
      </c>
      <c r="T300" s="90" t="str">
        <f>MID(VLOOKUP($A300,Seqs!$A:$B,2,FALSE),VLOOKUP($A300,'NonXtal_SegEnds_Prot#'!A:AL,10,FALSE)+7,1)</f>
        <v>T</v>
      </c>
      <c r="U300" s="90" t="str">
        <f>MID(VLOOKUP($A300,Seqs!$A:$B,2,FALSE),VLOOKUP($A300,'NonXtal_SegEnds_Prot#'!A:AL,10,FALSE)+8,1)</f>
        <v>I</v>
      </c>
      <c r="V300" s="90" t="str">
        <f>MID(VLOOKUP($A300,Seqs!$A:$B,2,FALSE),VLOOKUP($A300,'NonXtal_SegEnds_Prot#'!A:AL,10,FALSE)+9,1)</f>
        <v>I</v>
      </c>
      <c r="W300" s="64" t="str">
        <f>MID(VLOOKUP($A300,Seqs!$A:$B,2,FALSE),VLOOKUP($A300,'NonXtal_SegEnds_Prot#'!$A:$AL,22,FALSE)+6,1)</f>
        <v>P</v>
      </c>
      <c r="X300" s="90" t="str">
        <f>MID(VLOOKUP($A300,Seqs!$A:$B,2,FALSE),VLOOKUP($A300,'NonXtal_SegEnds_Prot#'!$A:$AL,22,FALSE)+7,1)</f>
        <v>A</v>
      </c>
      <c r="Y300" s="90" t="str">
        <f>MID(VLOOKUP($A300,Seqs!$A:$B,2,FALSE),VLOOKUP($A300,'NonXtal_SegEnds_Prot#'!$A:$AL,22,FALSE)+8,1)</f>
        <v>C</v>
      </c>
      <c r="Z300" s="90" t="str">
        <f>MID(VLOOKUP($A300,Seqs!$A:$B,2,FALSE),VLOOKUP($A300,'NonXtal_SegEnds_Prot#'!$A:$AL,22,FALSE)+9,1)</f>
        <v>I</v>
      </c>
      <c r="AA300" s="90" t="str">
        <f>MID(VLOOKUP($A300,Seqs!$A:$B,2,FALSE),VLOOKUP($A300,'NonXtal_SegEnds_Prot#'!$A:$AL,22,FALSE)+10,1)</f>
        <v>H</v>
      </c>
      <c r="AB300" s="64" t="str">
        <f>MID(VLOOKUP($A300,Seqs!$A:$B,2,FALSE),VLOOKUP($A300,'NonXtal_SegEnds_Prot#'!$A:$AL,28,FALSE)-4,1)</f>
        <v>P</v>
      </c>
      <c r="AC300" s="90" t="str">
        <f>MID(VLOOKUP($A300,Seqs!$A:$B,2,FALSE),VLOOKUP($A300,'NonXtal_SegEnds_Prot#'!$A:$AL,28,FALSE),1)</f>
        <v>A</v>
      </c>
    </row>
    <row r="301" spans="1:29" s="2" customFormat="1" x14ac:dyDescent="0.2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90"/>
      <c r="G301" s="94" t="s">
        <v>169</v>
      </c>
      <c r="H301" s="94" t="s">
        <v>170</v>
      </c>
      <c r="M301" s="2" t="s">
        <v>129</v>
      </c>
      <c r="P301" s="4" t="s">
        <v>51</v>
      </c>
      <c r="R301" s="64" t="str">
        <f>MID(VLOOKUP($A301,Seqs!$A:$B,2,FALSE),VLOOKUP($A301,'NonXtal_SegEnds_Prot#'!A:AL,10,FALSE),1)</f>
        <v>F</v>
      </c>
      <c r="S301" s="90" t="str">
        <f>MID(VLOOKUP($A301,Seqs!$A:$B,2,FALSE),VLOOKUP($A301,'NonXtal_SegEnds_Prot#'!A:AL,10,FALSE)+6,1)</f>
        <v>T</v>
      </c>
      <c r="T301" s="90" t="str">
        <f>MID(VLOOKUP($A301,Seqs!$A:$B,2,FALSE),VLOOKUP($A301,'NonXtal_SegEnds_Prot#'!A:AL,10,FALSE)+7,1)</f>
        <v>W</v>
      </c>
      <c r="U301" s="90" t="str">
        <f>MID(VLOOKUP($A301,Seqs!$A:$B,2,FALSE),VLOOKUP($A301,'NonXtal_SegEnds_Prot#'!A:AL,10,FALSE)+8,1)</f>
        <v>F</v>
      </c>
      <c r="V301" s="90" t="str">
        <f>MID(VLOOKUP($A301,Seqs!$A:$B,2,FALSE),VLOOKUP($A301,'NonXtal_SegEnds_Prot#'!A:AL,10,FALSE)+9,1)</f>
        <v>V</v>
      </c>
      <c r="W301" s="64" t="str">
        <f>MID(VLOOKUP($A301,Seqs!$A:$B,2,FALSE),VLOOKUP($A301,'NonXtal_SegEnds_Prot#'!$A:$AL,22,FALSE)+6,1)</f>
        <v>I</v>
      </c>
      <c r="X301" s="90" t="str">
        <f>MID(VLOOKUP($A301,Seqs!$A:$B,2,FALSE),VLOOKUP($A301,'NonXtal_SegEnds_Prot#'!$A:$AL,22,FALSE)+7,1)</f>
        <v>I</v>
      </c>
      <c r="Y301" s="90" t="str">
        <f>MID(VLOOKUP($A301,Seqs!$A:$B,2,FALSE),VLOOKUP($A301,'NonXtal_SegEnds_Prot#'!$A:$AL,22,FALSE)+8,1)</f>
        <v>V</v>
      </c>
      <c r="Z301" s="90" t="str">
        <f>MID(VLOOKUP($A301,Seqs!$A:$B,2,FALSE),VLOOKUP($A301,'NonXtal_SegEnds_Prot#'!$A:$AL,22,FALSE)+9,1)</f>
        <v>A</v>
      </c>
      <c r="AA301" s="90" t="str">
        <f>MID(VLOOKUP($A301,Seqs!$A:$B,2,FALSE),VLOOKUP($A301,'NonXtal_SegEnds_Prot#'!$A:$AL,22,FALSE)+10,1)</f>
        <v>W</v>
      </c>
      <c r="AB301" s="64" t="str">
        <f>MID(VLOOKUP($A301,Seqs!$A:$B,2,FALSE),VLOOKUP($A301,'NonXtal_SegEnds_Prot#'!$A:$AL,28,FALSE)-4,1)</f>
        <v>P</v>
      </c>
      <c r="AC301" s="90" t="str">
        <f>MID(VLOOKUP($A301,Seqs!$A:$B,2,FALSE),VLOOKUP($A301,'NonXtal_SegEnds_Prot#'!$A:$AL,28,FALSE),1)</f>
        <v>V</v>
      </c>
    </row>
    <row r="302" spans="1:29" s="2" customFormat="1" x14ac:dyDescent="0.2">
      <c r="A302" s="2" t="s">
        <v>596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90"/>
      <c r="M302" s="2" t="s">
        <v>129</v>
      </c>
      <c r="P302" s="4" t="s">
        <v>51</v>
      </c>
      <c r="R302" s="64" t="str">
        <f>MID(VLOOKUP($A302,Seqs!$A:$B,2,FALSE),VLOOKUP($A302,'NonXtal_SegEnds_Prot#'!A:AL,10,FALSE),1)</f>
        <v>F</v>
      </c>
      <c r="S302" s="90" t="str">
        <f>MID(VLOOKUP($A302,Seqs!$A:$B,2,FALSE),VLOOKUP($A302,'NonXtal_SegEnds_Prot#'!A:AL,10,FALSE)+6,1)</f>
        <v>M</v>
      </c>
      <c r="T302" s="90" t="str">
        <f>MID(VLOOKUP($A302,Seqs!$A:$B,2,FALSE),VLOOKUP($A302,'NonXtal_SegEnds_Prot#'!A:AL,10,FALSE)+7,1)</f>
        <v>W</v>
      </c>
      <c r="U302" s="90" t="str">
        <f>MID(VLOOKUP($A302,Seqs!$A:$B,2,FALSE),VLOOKUP($A302,'NonXtal_SegEnds_Prot#'!A:AL,10,FALSE)+8,1)</f>
        <v>F</v>
      </c>
      <c r="V302" s="90" t="str">
        <f>MID(VLOOKUP($A302,Seqs!$A:$B,2,FALSE),VLOOKUP($A302,'NonXtal_SegEnds_Prot#'!A:AL,10,FALSE)+9,1)</f>
        <v>L</v>
      </c>
      <c r="W302" s="64" t="str">
        <f>MID(VLOOKUP($A302,Seqs!$A:$B,2,FALSE),VLOOKUP($A302,'NonXtal_SegEnds_Prot#'!$A:$AL,22,FALSE)+6,1)</f>
        <v>I</v>
      </c>
      <c r="X302" s="90" t="str">
        <f>MID(VLOOKUP($A302,Seqs!$A:$B,2,FALSE),VLOOKUP($A302,'NonXtal_SegEnds_Prot#'!$A:$AL,22,FALSE)+7,1)</f>
        <v>I</v>
      </c>
      <c r="Y302" s="90" t="str">
        <f>MID(VLOOKUP($A302,Seqs!$A:$B,2,FALSE),VLOOKUP($A302,'NonXtal_SegEnds_Prot#'!$A:$AL,22,FALSE)+8,1)</f>
        <v>V</v>
      </c>
      <c r="Z302" s="90" t="str">
        <f>MID(VLOOKUP($A302,Seqs!$A:$B,2,FALSE),VLOOKUP($A302,'NonXtal_SegEnds_Prot#'!$A:$AL,22,FALSE)+9,1)</f>
        <v>A</v>
      </c>
      <c r="AA302" s="90" t="str">
        <f>MID(VLOOKUP($A302,Seqs!$A:$B,2,FALSE),VLOOKUP($A302,'NonXtal_SegEnds_Prot#'!$A:$AL,22,FALSE)+10,1)</f>
        <v>W</v>
      </c>
      <c r="AB302" s="64" t="str">
        <f>MID(VLOOKUP($A302,Seqs!$A:$B,2,FALSE),VLOOKUP($A302,'NonXtal_SegEnds_Prot#'!$A:$AL,28,FALSE)-4,1)</f>
        <v>P</v>
      </c>
      <c r="AC302" s="90" t="str">
        <f>MID(VLOOKUP($A302,Seqs!$A:$B,2,FALSE),VLOOKUP($A302,'NonXtal_SegEnds_Prot#'!$A:$AL,28,FALSE),1)</f>
        <v>V</v>
      </c>
    </row>
    <row r="303" spans="1:29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1554</v>
      </c>
      <c r="P303" s="4" t="s">
        <v>51</v>
      </c>
      <c r="R303" s="64" t="str">
        <f>MID(VLOOKUP($A303,Seqs!$A:$B,2,FALSE),VLOOKUP($A303,'NonXtal_SegEnds_Prot#'!A:AL,10,FALSE),1)</f>
        <v>F</v>
      </c>
      <c r="S303" s="90" t="str">
        <f>MID(VLOOKUP($A303,Seqs!$A:$B,2,FALSE),VLOOKUP($A303,'NonXtal_SegEnds_Prot#'!A:AL,10,FALSE)+6,1)</f>
        <v>S</v>
      </c>
      <c r="T303" s="90" t="str">
        <f>MID(VLOOKUP($A303,Seqs!$A:$B,2,FALSE),VLOOKUP($A303,'NonXtal_SegEnds_Prot#'!A:AL,10,FALSE)+7,1)</f>
        <v>V</v>
      </c>
      <c r="U303" s="90" t="str">
        <f>MID(VLOOKUP($A303,Seqs!$A:$B,2,FALSE),VLOOKUP($A303,'NonXtal_SegEnds_Prot#'!A:AL,10,FALSE)+8,1)</f>
        <v>L</v>
      </c>
      <c r="V303" s="90" t="str">
        <f>MID(VLOOKUP($A303,Seqs!$A:$B,2,FALSE),VLOOKUP($A303,'NonXtal_SegEnds_Prot#'!A:AL,10,FALSE)+9,1)</f>
        <v>V</v>
      </c>
      <c r="W303" s="64" t="str">
        <f>MID(VLOOKUP($A303,Seqs!$A:$B,2,FALSE),VLOOKUP($A303,'NonXtal_SegEnds_Prot#'!$A:$AL,22,FALSE)+6,1)</f>
        <v>C</v>
      </c>
      <c r="X303" s="90" t="str">
        <f>MID(VLOOKUP($A303,Seqs!$A:$B,2,FALSE),VLOOKUP($A303,'NonXtal_SegEnds_Prot#'!$A:$AL,22,FALSE)+7,1)</f>
        <v>I</v>
      </c>
      <c r="Y303" s="90" t="str">
        <f>MID(VLOOKUP($A303,Seqs!$A:$B,2,FALSE),VLOOKUP($A303,'NonXtal_SegEnds_Prot#'!$A:$AL,22,FALSE)+8,1)</f>
        <v>G</v>
      </c>
      <c r="Z303" s="90" t="str">
        <f>MID(VLOOKUP($A303,Seqs!$A:$B,2,FALSE),VLOOKUP($A303,'NonXtal_SegEnds_Prot#'!$A:$AL,22,FALSE)+9,1)</f>
        <v>A</v>
      </c>
      <c r="AA303" s="90" t="str">
        <f>MID(VLOOKUP($A303,Seqs!$A:$B,2,FALSE),VLOOKUP($A303,'NonXtal_SegEnds_Prot#'!$A:$AL,22,FALSE)+10,1)</f>
        <v>W</v>
      </c>
      <c r="AB303" s="64" t="str">
        <f>MID(VLOOKUP($A303,Seqs!$A:$B,2,FALSE),VLOOKUP($A303,'NonXtal_SegEnds_Prot#'!$A:$AL,28,FALSE)-4,1)</f>
        <v>P</v>
      </c>
      <c r="AC303" s="90" t="str">
        <f>MID(VLOOKUP($A303,Seqs!$A:$B,2,FALSE),VLOOKUP($A303,'NonXtal_SegEnds_Prot#'!$A:$AL,28,FALSE),1)</f>
        <v>S</v>
      </c>
    </row>
    <row r="304" spans="1:29" s="2" customFormat="1" x14ac:dyDescent="0.2">
      <c r="A304" s="2" t="s">
        <v>594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64" t="str">
        <f>MID(VLOOKUP($A304,Seqs!$A:$B,2,FALSE),VLOOKUP($A304,'NonXtal_SegEnds_Prot#'!A:AL,10,FALSE),1)</f>
        <v>Y</v>
      </c>
      <c r="S304" s="90" t="str">
        <f>MID(VLOOKUP($A304,Seqs!$A:$B,2,FALSE),VLOOKUP($A304,'NonXtal_SegEnds_Prot#'!A:AL,10,FALSE)+6,1)</f>
        <v>I</v>
      </c>
      <c r="T304" s="90" t="str">
        <f>MID(VLOOKUP($A304,Seqs!$A:$B,2,FALSE),VLOOKUP($A304,'NonXtal_SegEnds_Prot#'!A:AL,10,FALSE)+7,1)</f>
        <v>I</v>
      </c>
      <c r="U304" s="90" t="str">
        <f>MID(VLOOKUP($A304,Seqs!$A:$B,2,FALSE),VLOOKUP($A304,'NonXtal_SegEnds_Prot#'!A:AL,10,FALSE)+8,1)</f>
        <v>I</v>
      </c>
      <c r="V304" s="90" t="str">
        <f>MID(VLOOKUP($A304,Seqs!$A:$B,2,FALSE),VLOOKUP($A304,'NonXtal_SegEnds_Prot#'!A:AL,10,FALSE)+9,1)</f>
        <v>I</v>
      </c>
      <c r="W304" s="64" t="str">
        <f>MID(VLOOKUP($A304,Seqs!$A:$B,2,FALSE),VLOOKUP($A304,'NonXtal_SegEnds_Prot#'!$A:$AL,22,FALSE)+6,1)</f>
        <v>P</v>
      </c>
      <c r="X304" s="90" t="str">
        <f>MID(VLOOKUP($A304,Seqs!$A:$B,2,FALSE),VLOOKUP($A304,'NonXtal_SegEnds_Prot#'!$A:$AL,22,FALSE)+7,1)</f>
        <v>T</v>
      </c>
      <c r="Y304" s="90" t="str">
        <f>MID(VLOOKUP($A304,Seqs!$A:$B,2,FALSE),VLOOKUP($A304,'NonXtal_SegEnds_Prot#'!$A:$AL,22,FALSE)+8,1)</f>
        <v>T</v>
      </c>
      <c r="Z304" s="90" t="str">
        <f>MID(VLOOKUP($A304,Seqs!$A:$B,2,FALSE),VLOOKUP($A304,'NonXtal_SegEnds_Prot#'!$A:$AL,22,FALSE)+9,1)</f>
        <v>I</v>
      </c>
      <c r="AA304" s="90" t="str">
        <f>MID(VLOOKUP($A304,Seqs!$A:$B,2,FALSE),VLOOKUP($A304,'NonXtal_SegEnds_Prot#'!$A:$AL,22,FALSE)+10,1)</f>
        <v>H</v>
      </c>
      <c r="AB304" s="64" t="str">
        <f>MID(VLOOKUP($A304,Seqs!$A:$B,2,FALSE),VLOOKUP($A304,'NonXtal_SegEnds_Prot#'!$A:$AL,28,FALSE)-4,1)</f>
        <v>P</v>
      </c>
      <c r="AC304" s="90" t="str">
        <f>MID(VLOOKUP($A304,Seqs!$A:$B,2,FALSE),VLOOKUP($A304,'NonXtal_SegEnds_Prot#'!$A:$AL,28,FALSE),1)</f>
        <v>A</v>
      </c>
    </row>
    <row r="305" spans="1:29" s="2" customFormat="1" x14ac:dyDescent="0.2">
      <c r="A305" s="2" t="s">
        <v>597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1554</v>
      </c>
      <c r="P305" s="4" t="s">
        <v>51</v>
      </c>
      <c r="R305" s="64" t="str">
        <f>MID(VLOOKUP($A305,Seqs!$A:$B,2,FALSE),VLOOKUP($A305,'NonXtal_SegEnds_Prot#'!A:AL,10,FALSE),1)</f>
        <v>F</v>
      </c>
      <c r="S305" s="90" t="str">
        <f>MID(VLOOKUP($A305,Seqs!$A:$B,2,FALSE),VLOOKUP($A305,'NonXtal_SegEnds_Prot#'!A:AL,10,FALSE)+6,1)</f>
        <v>A</v>
      </c>
      <c r="T305" s="90" t="str">
        <f>MID(VLOOKUP($A305,Seqs!$A:$B,2,FALSE),VLOOKUP($A305,'NonXtal_SegEnds_Prot#'!A:AL,10,FALSE)+7,1)</f>
        <v>V</v>
      </c>
      <c r="U305" s="90" t="str">
        <f>MID(VLOOKUP($A305,Seqs!$A:$B,2,FALSE),VLOOKUP($A305,'NonXtal_SegEnds_Prot#'!A:AL,10,FALSE)+8,1)</f>
        <v>F</v>
      </c>
      <c r="V305" s="90" t="str">
        <f>MID(VLOOKUP($A305,Seqs!$A:$B,2,FALSE),VLOOKUP($A305,'NonXtal_SegEnds_Prot#'!A:AL,10,FALSE)+9,1)</f>
        <v>L</v>
      </c>
      <c r="W305" s="64" t="str">
        <f>MID(VLOOKUP($A305,Seqs!$A:$B,2,FALSE),VLOOKUP($A305,'NonXtal_SegEnds_Prot#'!$A:$AL,22,FALSE)+6,1)</f>
        <v>F</v>
      </c>
      <c r="X305" s="90" t="str">
        <f>MID(VLOOKUP($A305,Seqs!$A:$B,2,FALSE),VLOOKUP($A305,'NonXtal_SegEnds_Prot#'!$A:$AL,22,FALSE)+7,1)</f>
        <v>T</v>
      </c>
      <c r="Y305" s="90" t="str">
        <f>MID(VLOOKUP($A305,Seqs!$A:$B,2,FALSE),VLOOKUP($A305,'NonXtal_SegEnds_Prot#'!$A:$AL,22,FALSE)+8,1)</f>
        <v>G</v>
      </c>
      <c r="Z305" s="90" t="str">
        <f>MID(VLOOKUP($A305,Seqs!$A:$B,2,FALSE),VLOOKUP($A305,'NonXtal_SegEnds_Prot#'!$A:$AL,22,FALSE)+9,1)</f>
        <v>T</v>
      </c>
      <c r="AA305" s="90" t="str">
        <f>MID(VLOOKUP($A305,Seqs!$A:$B,2,FALSE),VLOOKUP($A305,'NonXtal_SegEnds_Prot#'!$A:$AL,22,FALSE)+10,1)</f>
        <v>W</v>
      </c>
      <c r="AB305" s="64" t="str">
        <f>MID(VLOOKUP($A305,Seqs!$A:$B,2,FALSE),VLOOKUP($A305,'NonXtal_SegEnds_Prot#'!$A:$AL,28,FALSE)-4,1)</f>
        <v>P</v>
      </c>
      <c r="AC305" s="90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605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1554</v>
      </c>
      <c r="P306" s="4" t="s">
        <v>51</v>
      </c>
      <c r="R306" s="64" t="str">
        <f>MID(VLOOKUP($A306,Seqs!$A:$B,2,FALSE),VLOOKUP($A306,'NonXtal_SegEnds_Prot#'!A:AL,10,FALSE),1)</f>
        <v>F</v>
      </c>
      <c r="S306" s="90" t="str">
        <f>MID(VLOOKUP($A306,Seqs!$A:$B,2,FALSE),VLOOKUP($A306,'NonXtal_SegEnds_Prot#'!A:AL,10,FALSE)+6,1)</f>
        <v>A</v>
      </c>
      <c r="T306" s="90" t="str">
        <f>MID(VLOOKUP($A306,Seqs!$A:$B,2,FALSE),VLOOKUP($A306,'NonXtal_SegEnds_Prot#'!A:AL,10,FALSE)+7,1)</f>
        <v>V</v>
      </c>
      <c r="U306" s="90" t="str">
        <f>MID(VLOOKUP($A306,Seqs!$A:$B,2,FALSE),VLOOKUP($A306,'NonXtal_SegEnds_Prot#'!A:AL,10,FALSE)+8,1)</f>
        <v>F</v>
      </c>
      <c r="V306" s="90" t="str">
        <f>MID(VLOOKUP($A306,Seqs!$A:$B,2,FALSE),VLOOKUP($A306,'NonXtal_SegEnds_Prot#'!A:AL,10,FALSE)+9,1)</f>
        <v>I</v>
      </c>
      <c r="W306" s="64" t="str">
        <f>MID(VLOOKUP($A306,Seqs!$A:$B,2,FALSE),VLOOKUP($A306,'NonXtal_SegEnds_Prot#'!$A:$AL,22,FALSE)+6,1)</f>
        <v>F</v>
      </c>
      <c r="X306" s="90" t="str">
        <f>MID(VLOOKUP($A306,Seqs!$A:$B,2,FALSE),VLOOKUP($A306,'NonXtal_SegEnds_Prot#'!$A:$AL,22,FALSE)+7,1)</f>
        <v>T</v>
      </c>
      <c r="Y306" s="90" t="str">
        <f>MID(VLOOKUP($A306,Seqs!$A:$B,2,FALSE),VLOOKUP($A306,'NonXtal_SegEnds_Prot#'!$A:$AL,22,FALSE)+8,1)</f>
        <v>M</v>
      </c>
      <c r="Z306" s="90" t="str">
        <f>MID(VLOOKUP($A306,Seqs!$A:$B,2,FALSE),VLOOKUP($A306,'NonXtal_SegEnds_Prot#'!$A:$AL,22,FALSE)+9,1)</f>
        <v>V</v>
      </c>
      <c r="AA306" s="90" t="str">
        <f>MID(VLOOKUP($A306,Seqs!$A:$B,2,FALSE),VLOOKUP($A306,'NonXtal_SegEnds_Prot#'!$A:$AL,22,FALSE)+10,1)</f>
        <v>W</v>
      </c>
      <c r="AB306" s="64" t="str">
        <f>MID(VLOOKUP($A306,Seqs!$A:$B,2,FALSE),VLOOKUP($A306,'NonXtal_SegEnds_Prot#'!$A:$AL,28,FALSE)-4,1)</f>
        <v>P</v>
      </c>
      <c r="AC306" s="90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1554</v>
      </c>
      <c r="P307" s="4" t="s">
        <v>51</v>
      </c>
      <c r="R307" s="64" t="str">
        <f>MID(VLOOKUP($A307,Seqs!$A:$B,2,FALSE),VLOOKUP($A307,'NonXtal_SegEnds_Prot#'!A:AL,10,FALSE),1)</f>
        <v>F</v>
      </c>
      <c r="S307" s="90" t="str">
        <f>MID(VLOOKUP($A307,Seqs!$A:$B,2,FALSE),VLOOKUP($A307,'NonXtal_SegEnds_Prot#'!A:AL,10,FALSE)+6,1)</f>
        <v>S</v>
      </c>
      <c r="T307" s="90" t="str">
        <f>MID(VLOOKUP($A307,Seqs!$A:$B,2,FALSE),VLOOKUP($A307,'NonXtal_SegEnds_Prot#'!A:AL,10,FALSE)+7,1)</f>
        <v>V</v>
      </c>
      <c r="U307" s="90" t="str">
        <f>MID(VLOOKUP($A307,Seqs!$A:$B,2,FALSE),VLOOKUP($A307,'NonXtal_SegEnds_Prot#'!A:AL,10,FALSE)+8,1)</f>
        <v>F</v>
      </c>
      <c r="V307" s="90" t="str">
        <f>MID(VLOOKUP($A307,Seqs!$A:$B,2,FALSE),VLOOKUP($A307,'NonXtal_SegEnds_Prot#'!A:AL,10,FALSE)+9,1)</f>
        <v>I</v>
      </c>
      <c r="W307" s="64" t="str">
        <f>MID(VLOOKUP($A307,Seqs!$A:$B,2,FALSE),VLOOKUP($A307,'NonXtal_SegEnds_Prot#'!$A:$AL,22,FALSE)+6,1)</f>
        <v>C</v>
      </c>
      <c r="X307" s="90" t="str">
        <f>MID(VLOOKUP($A307,Seqs!$A:$B,2,FALSE),VLOOKUP($A307,'NonXtal_SegEnds_Prot#'!$A:$AL,22,FALSE)+7,1)</f>
        <v>V</v>
      </c>
      <c r="Y307" s="90" t="str">
        <f>MID(VLOOKUP($A307,Seqs!$A:$B,2,FALSE),VLOOKUP($A307,'NonXtal_SegEnds_Prot#'!$A:$AL,22,FALSE)+8,1)</f>
        <v>T</v>
      </c>
      <c r="Z307" s="90" t="str">
        <f>MID(VLOOKUP($A307,Seqs!$A:$B,2,FALSE),VLOOKUP($A307,'NonXtal_SegEnds_Prot#'!$A:$AL,22,FALSE)+9,1)</f>
        <v>V</v>
      </c>
      <c r="AA307" s="90" t="str">
        <f>MID(VLOOKUP($A307,Seqs!$A:$B,2,FALSE),VLOOKUP($A307,'NonXtal_SegEnds_Prot#'!$A:$AL,22,FALSE)+10,1)</f>
        <v>W</v>
      </c>
      <c r="AB307" s="64" t="str">
        <f>MID(VLOOKUP($A307,Seqs!$A:$B,2,FALSE),VLOOKUP($A307,'NonXtal_SegEnds_Prot#'!$A:$AL,28,FALSE)-4,1)</f>
        <v>P</v>
      </c>
      <c r="AC307" s="90" t="str">
        <f>MID(VLOOKUP($A307,Seqs!$A:$B,2,FALSE),VLOOKUP($A307,'NonXtal_SegEnds_Prot#'!$A:$AL,28,FALSE),1)</f>
        <v>S</v>
      </c>
    </row>
    <row r="308" spans="1:29" s="2" customFormat="1" x14ac:dyDescent="0.2">
      <c r="A308" s="2" t="s">
        <v>602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1554</v>
      </c>
      <c r="P308" s="4" t="s">
        <v>51</v>
      </c>
      <c r="R308" s="64" t="str">
        <f>MID(VLOOKUP($A308,Seqs!$A:$B,2,FALSE),VLOOKUP($A308,'NonXtal_SegEnds_Prot#'!A:AL,10,FALSE),1)</f>
        <v>F</v>
      </c>
      <c r="S308" s="90" t="str">
        <f>MID(VLOOKUP($A308,Seqs!$A:$B,2,FALSE),VLOOKUP($A308,'NonXtal_SegEnds_Prot#'!A:AL,10,FALSE)+6,1)</f>
        <v>S</v>
      </c>
      <c r="T308" s="90" t="str">
        <f>MID(VLOOKUP($A308,Seqs!$A:$B,2,FALSE),VLOOKUP($A308,'NonXtal_SegEnds_Prot#'!A:AL,10,FALSE)+7,1)</f>
        <v>I</v>
      </c>
      <c r="U308" s="90" t="str">
        <f>MID(VLOOKUP($A308,Seqs!$A:$B,2,FALSE),VLOOKUP($A308,'NonXtal_SegEnds_Prot#'!A:AL,10,FALSE)+8,1)</f>
        <v>F</v>
      </c>
      <c r="V308" s="90" t="str">
        <f>MID(VLOOKUP($A308,Seqs!$A:$B,2,FALSE),VLOOKUP($A308,'NonXtal_SegEnds_Prot#'!A:AL,10,FALSE)+9,1)</f>
        <v>V</v>
      </c>
      <c r="W308" s="64" t="str">
        <f>MID(VLOOKUP($A308,Seqs!$A:$B,2,FALSE),VLOOKUP($A308,'NonXtal_SegEnds_Prot#'!$A:$AL,22,FALSE)+6,1)</f>
        <v>F</v>
      </c>
      <c r="X308" s="90" t="str">
        <f>MID(VLOOKUP($A308,Seqs!$A:$B,2,FALSE),VLOOKUP($A308,'NonXtal_SegEnds_Prot#'!$A:$AL,22,FALSE)+7,1)</f>
        <v>V</v>
      </c>
      <c r="Y308" s="90" t="str">
        <f>MID(VLOOKUP($A308,Seqs!$A:$B,2,FALSE),VLOOKUP($A308,'NonXtal_SegEnds_Prot#'!$A:$AL,22,FALSE)+8,1)</f>
        <v>A</v>
      </c>
      <c r="Z308" s="90" t="str">
        <f>MID(VLOOKUP($A308,Seqs!$A:$B,2,FALSE),VLOOKUP($A308,'NonXtal_SegEnds_Prot#'!$A:$AL,22,FALSE)+9,1)</f>
        <v>V</v>
      </c>
      <c r="AA308" s="90" t="str">
        <f>MID(VLOOKUP($A308,Seqs!$A:$B,2,FALSE),VLOOKUP($A308,'NonXtal_SegEnds_Prot#'!$A:$AL,22,FALSE)+10,1)</f>
        <v>W</v>
      </c>
      <c r="AB308" s="64" t="str">
        <f>MID(VLOOKUP($A308,Seqs!$A:$B,2,FALSE),VLOOKUP($A308,'NonXtal_SegEnds_Prot#'!$A:$AL,28,FALSE)-4,1)</f>
        <v>P</v>
      </c>
      <c r="AC308" s="90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603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1554</v>
      </c>
      <c r="P309" s="4" t="s">
        <v>51</v>
      </c>
      <c r="R309" s="64" t="str">
        <f>MID(VLOOKUP($A309,Seqs!$A:$B,2,FALSE),VLOOKUP($A309,'NonXtal_SegEnds_Prot#'!A:AL,10,FALSE),1)</f>
        <v>F</v>
      </c>
      <c r="S309" s="90" t="str">
        <f>MID(VLOOKUP($A309,Seqs!$A:$B,2,FALSE),VLOOKUP($A309,'NonXtal_SegEnds_Prot#'!A:AL,10,FALSE)+6,1)</f>
        <v>S</v>
      </c>
      <c r="T309" s="90" t="str">
        <f>MID(VLOOKUP($A309,Seqs!$A:$B,2,FALSE),VLOOKUP($A309,'NonXtal_SegEnds_Prot#'!A:AL,10,FALSE)+7,1)</f>
        <v>I</v>
      </c>
      <c r="U309" s="90" t="str">
        <f>MID(VLOOKUP($A309,Seqs!$A:$B,2,FALSE),VLOOKUP($A309,'NonXtal_SegEnds_Prot#'!A:AL,10,FALSE)+8,1)</f>
        <v>F</v>
      </c>
      <c r="V309" s="90" t="str">
        <f>MID(VLOOKUP($A309,Seqs!$A:$B,2,FALSE),VLOOKUP($A309,'NonXtal_SegEnds_Prot#'!A:AL,10,FALSE)+9,1)</f>
        <v>V</v>
      </c>
      <c r="W309" s="64" t="str">
        <f>MID(VLOOKUP($A309,Seqs!$A:$B,2,FALSE),VLOOKUP($A309,'NonXtal_SegEnds_Prot#'!$A:$AL,22,FALSE)+6,1)</f>
        <v>F</v>
      </c>
      <c r="X309" s="90" t="str">
        <f>MID(VLOOKUP($A309,Seqs!$A:$B,2,FALSE),VLOOKUP($A309,'NonXtal_SegEnds_Prot#'!$A:$AL,22,FALSE)+7,1)</f>
        <v>V</v>
      </c>
      <c r="Y309" s="90" t="str">
        <f>MID(VLOOKUP($A309,Seqs!$A:$B,2,FALSE),VLOOKUP($A309,'NonXtal_SegEnds_Prot#'!$A:$AL,22,FALSE)+8,1)</f>
        <v>A</v>
      </c>
      <c r="Z309" s="90" t="str">
        <f>MID(VLOOKUP($A309,Seqs!$A:$B,2,FALSE),VLOOKUP($A309,'NonXtal_SegEnds_Prot#'!$A:$AL,22,FALSE)+9,1)</f>
        <v>A</v>
      </c>
      <c r="AA309" s="90" t="str">
        <f>MID(VLOOKUP($A309,Seqs!$A:$B,2,FALSE),VLOOKUP($A309,'NonXtal_SegEnds_Prot#'!$A:$AL,22,FALSE)+10,1)</f>
        <v>W</v>
      </c>
      <c r="AB309" s="64" t="str">
        <f>MID(VLOOKUP($A309,Seqs!$A:$B,2,FALSE),VLOOKUP($A309,'NonXtal_SegEnds_Prot#'!$A:$AL,28,FALSE)-4,1)</f>
        <v>P</v>
      </c>
      <c r="AC309" s="90" t="str">
        <f>MID(VLOOKUP($A309,Seqs!$A:$B,2,FALSE),VLOOKUP($A309,'NonXtal_SegEnds_Prot#'!$A:$AL,28,FALSE),1)</f>
        <v>A</v>
      </c>
    </row>
    <row r="310" spans="1:29" s="2" customFormat="1" x14ac:dyDescent="0.2">
      <c r="A310" s="2" t="s">
        <v>604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1554</v>
      </c>
      <c r="P310" s="4" t="s">
        <v>51</v>
      </c>
      <c r="R310" s="64" t="str">
        <f>MID(VLOOKUP($A310,Seqs!$A:$B,2,FALSE),VLOOKUP($A310,'NonXtal_SegEnds_Prot#'!A:AL,10,FALSE),1)</f>
        <v>F</v>
      </c>
      <c r="S310" s="90" t="str">
        <f>MID(VLOOKUP($A310,Seqs!$A:$B,2,FALSE),VLOOKUP($A310,'NonXtal_SegEnds_Prot#'!A:AL,10,FALSE)+6,1)</f>
        <v>S</v>
      </c>
      <c r="T310" s="90" t="str">
        <f>MID(VLOOKUP($A310,Seqs!$A:$B,2,FALSE),VLOOKUP($A310,'NonXtal_SegEnds_Prot#'!A:AL,10,FALSE)+7,1)</f>
        <v>N</v>
      </c>
      <c r="U310" s="90" t="str">
        <f>MID(VLOOKUP($A310,Seqs!$A:$B,2,FALSE),VLOOKUP($A310,'NonXtal_SegEnds_Prot#'!A:AL,10,FALSE)+8,1)</f>
        <v>F</v>
      </c>
      <c r="V310" s="90" t="str">
        <f>MID(VLOOKUP($A310,Seqs!$A:$B,2,FALSE),VLOOKUP($A310,'NonXtal_SegEnds_Prot#'!A:AL,10,FALSE)+9,1)</f>
        <v>I</v>
      </c>
      <c r="W310" s="64" t="str">
        <f>MID(VLOOKUP($A310,Seqs!$A:$B,2,FALSE),VLOOKUP($A310,'NonXtal_SegEnds_Prot#'!$A:$AL,22,FALSE)+6,1)</f>
        <v>F</v>
      </c>
      <c r="X310" s="90" t="str">
        <f>MID(VLOOKUP($A310,Seqs!$A:$B,2,FALSE),VLOOKUP($A310,'NonXtal_SegEnds_Prot#'!$A:$AL,22,FALSE)+7,1)</f>
        <v>V</v>
      </c>
      <c r="Y310" s="90" t="str">
        <f>MID(VLOOKUP($A310,Seqs!$A:$B,2,FALSE),VLOOKUP($A310,'NonXtal_SegEnds_Prot#'!$A:$AL,22,FALSE)+8,1)</f>
        <v>A</v>
      </c>
      <c r="Z310" s="90" t="str">
        <f>MID(VLOOKUP($A310,Seqs!$A:$B,2,FALSE),VLOOKUP($A310,'NonXtal_SegEnds_Prot#'!$A:$AL,22,FALSE)+9,1)</f>
        <v>L</v>
      </c>
      <c r="AA310" s="90" t="str">
        <f>MID(VLOOKUP($A310,Seqs!$A:$B,2,FALSE),VLOOKUP($A310,'NonXtal_SegEnds_Prot#'!$A:$AL,22,FALSE)+10,1)</f>
        <v>W</v>
      </c>
      <c r="AB310" s="64" t="str">
        <f>MID(VLOOKUP($A310,Seqs!$A:$B,2,FALSE),VLOOKUP($A310,'NonXtal_SegEnds_Prot#'!$A:$AL,28,FALSE)-4,1)</f>
        <v>P</v>
      </c>
      <c r="AC310" s="90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1407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64" t="str">
        <f>MID(VLOOKUP($A311,Seqs!$A:$B,2,FALSE),VLOOKUP($A311,'NonXtal_SegEnds_Prot#'!A:AL,10,FALSE),1)</f>
        <v>A</v>
      </c>
      <c r="S311" s="90" t="str">
        <f>MID(VLOOKUP($A311,Seqs!$A:$B,2,FALSE),VLOOKUP($A311,'NonXtal_SegEnds_Prot#'!A:AL,10,FALSE)+6,1)</f>
        <v>A</v>
      </c>
      <c r="T311" s="90" t="str">
        <f>MID(VLOOKUP($A311,Seqs!$A:$B,2,FALSE),VLOOKUP($A311,'NonXtal_SegEnds_Prot#'!A:AL,10,FALSE)+7,1)</f>
        <v>D</v>
      </c>
      <c r="U311" s="90" t="str">
        <f>MID(VLOOKUP($A311,Seqs!$A:$B,2,FALSE),VLOOKUP($A311,'NonXtal_SegEnds_Prot#'!A:AL,10,FALSE)+8,1)</f>
        <v>V</v>
      </c>
      <c r="V311" s="90" t="str">
        <f>MID(VLOOKUP($A311,Seqs!$A:$B,2,FALSE),VLOOKUP($A311,'NonXtal_SegEnds_Prot#'!A:AL,10,FALSE)+9,1)</f>
        <v>W</v>
      </c>
      <c r="W311" s="64" t="str">
        <f>MID(VLOOKUP($A311,Seqs!$A:$B,2,FALSE),VLOOKUP($A311,'NonXtal_SegEnds_Prot#'!$A:$AL,22,FALSE)+6,1)</f>
        <v>I</v>
      </c>
      <c r="X311" s="90" t="str">
        <f>MID(VLOOKUP($A311,Seqs!$A:$B,2,FALSE),VLOOKUP($A311,'NonXtal_SegEnds_Prot#'!$A:$AL,22,FALSE)+7,1)</f>
        <v>A</v>
      </c>
      <c r="Y311" s="90" t="str">
        <f>MID(VLOOKUP($A311,Seqs!$A:$B,2,FALSE),VLOOKUP($A311,'NonXtal_SegEnds_Prot#'!$A:$AL,22,FALSE)+8,1)</f>
        <v>A</v>
      </c>
      <c r="Z311" s="90" t="str">
        <f>MID(VLOOKUP($A311,Seqs!$A:$B,2,FALSE),VLOOKUP($A311,'NonXtal_SegEnds_Prot#'!$A:$AL,22,FALSE)+9,1)</f>
        <v>I</v>
      </c>
      <c r="AA311" s="90" t="str">
        <f>MID(VLOOKUP($A311,Seqs!$A:$B,2,FALSE),VLOOKUP($A311,'NonXtal_SegEnds_Prot#'!$A:$AL,22,FALSE)+10,1)</f>
        <v>T</v>
      </c>
      <c r="AB311" s="64" t="str">
        <f>MID(VLOOKUP($A311,Seqs!$A:$B,2,FALSE),VLOOKUP($A311,'NonXtal_SegEnds_Prot#'!$A:$AL,28,FALSE)-4,1)</f>
        <v>P</v>
      </c>
      <c r="AC311" s="90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1408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64" t="str">
        <f>MID(VLOOKUP($A312,Seqs!$A:$B,2,FALSE),VLOOKUP($A312,'NonXtal_SegEnds_Prot#'!A:AL,10,FALSE),1)</f>
        <v>V</v>
      </c>
      <c r="S312" s="90" t="str">
        <f>MID(VLOOKUP($A312,Seqs!$A:$B,2,FALSE),VLOOKUP($A312,'NonXtal_SegEnds_Prot#'!A:AL,10,FALSE)+6,1)</f>
        <v>A</v>
      </c>
      <c r="T312" s="90" t="str">
        <f>MID(VLOOKUP($A312,Seqs!$A:$B,2,FALSE),VLOOKUP($A312,'NonXtal_SegEnds_Prot#'!A:AL,10,FALSE)+7,1)</f>
        <v>D</v>
      </c>
      <c r="U312" s="90" t="str">
        <f>MID(VLOOKUP($A312,Seqs!$A:$B,2,FALSE),VLOOKUP($A312,'NonXtal_SegEnds_Prot#'!A:AL,10,FALSE)+8,1)</f>
        <v>T</v>
      </c>
      <c r="V312" s="90" t="str">
        <f>MID(VLOOKUP($A312,Seqs!$A:$B,2,FALSE),VLOOKUP($A312,'NonXtal_SegEnds_Prot#'!A:AL,10,FALSE)+9,1)</f>
        <v>C</v>
      </c>
      <c r="W312" s="64" t="str">
        <f>MID(VLOOKUP($A312,Seqs!$A:$B,2,FALSE),VLOOKUP($A312,'NonXtal_SegEnds_Prot#'!$A:$AL,22,FALSE)+6,1)</f>
        <v>L</v>
      </c>
      <c r="X312" s="90" t="str">
        <f>MID(VLOOKUP($A312,Seqs!$A:$B,2,FALSE),VLOOKUP($A312,'NonXtal_SegEnds_Prot#'!$A:$AL,22,FALSE)+7,1)</f>
        <v>A</v>
      </c>
      <c r="Y312" s="90" t="str">
        <f>MID(VLOOKUP($A312,Seqs!$A:$B,2,FALSE),VLOOKUP($A312,'NonXtal_SegEnds_Prot#'!$A:$AL,22,FALSE)+8,1)</f>
        <v>G</v>
      </c>
      <c r="Z312" s="90" t="str">
        <f>MID(VLOOKUP($A312,Seqs!$A:$B,2,FALSE),VLOOKUP($A312,'NonXtal_SegEnds_Prot#'!$A:$AL,22,FALSE)+9,1)</f>
        <v>V</v>
      </c>
      <c r="AA312" s="90" t="str">
        <f>MID(VLOOKUP($A312,Seqs!$A:$B,2,FALSE),VLOOKUP($A312,'NonXtal_SegEnds_Prot#'!$A:$AL,22,FALSE)+10,1)</f>
        <v>T</v>
      </c>
      <c r="AB312" s="64" t="str">
        <f>MID(VLOOKUP($A312,Seqs!$A:$B,2,FALSE),VLOOKUP($A312,'NonXtal_SegEnds_Prot#'!$A:$AL,28,FALSE)-4,1)</f>
        <v>P</v>
      </c>
      <c r="AC312" s="90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1409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64" t="str">
        <f>MID(VLOOKUP($A313,Seqs!$A:$B,2,FALSE),VLOOKUP($A313,'NonXtal_SegEnds_Prot#'!A:AL,10,FALSE),1)</f>
        <v>A</v>
      </c>
      <c r="S313" s="90" t="str">
        <f>MID(VLOOKUP($A313,Seqs!$A:$B,2,FALSE),VLOOKUP($A313,'NonXtal_SegEnds_Prot#'!A:AL,10,FALSE)+6,1)</f>
        <v>A</v>
      </c>
      <c r="T313" s="90" t="str">
        <f>MID(VLOOKUP($A313,Seqs!$A:$B,2,FALSE),VLOOKUP($A313,'NonXtal_SegEnds_Prot#'!A:AL,10,FALSE)+7,1)</f>
        <v>N</v>
      </c>
      <c r="U313" s="90" t="str">
        <f>MID(VLOOKUP($A313,Seqs!$A:$B,2,FALSE),VLOOKUP($A313,'NonXtal_SegEnds_Prot#'!A:AL,10,FALSE)+8,1)</f>
        <v>V</v>
      </c>
      <c r="V313" s="90" t="str">
        <f>MID(VLOOKUP($A313,Seqs!$A:$B,2,FALSE),VLOOKUP($A313,'NonXtal_SegEnds_Prot#'!A:AL,10,FALSE)+9,1)</f>
        <v>W</v>
      </c>
      <c r="W313" s="64" t="str">
        <f>MID(VLOOKUP($A313,Seqs!$A:$B,2,FALSE),VLOOKUP($A313,'NonXtal_SegEnds_Prot#'!$A:$AL,22,FALSE)+6,1)</f>
        <v>I</v>
      </c>
      <c r="X313" s="90" t="str">
        <f>MID(VLOOKUP($A313,Seqs!$A:$B,2,FALSE),VLOOKUP($A313,'NonXtal_SegEnds_Prot#'!$A:$AL,22,FALSE)+7,1)</f>
        <v>A</v>
      </c>
      <c r="Y313" s="90" t="str">
        <f>MID(VLOOKUP($A313,Seqs!$A:$B,2,FALSE),VLOOKUP($A313,'NonXtal_SegEnds_Prot#'!$A:$AL,22,FALSE)+8,1)</f>
        <v>V</v>
      </c>
      <c r="Z313" s="90" t="str">
        <f>MID(VLOOKUP($A313,Seqs!$A:$B,2,FALSE),VLOOKUP($A313,'NonXtal_SegEnds_Prot#'!$A:$AL,22,FALSE)+9,1)</f>
        <v>T</v>
      </c>
      <c r="AA313" s="90" t="str">
        <f>MID(VLOOKUP($A313,Seqs!$A:$B,2,FALSE),VLOOKUP($A313,'NonXtal_SegEnds_Prot#'!$A:$AL,22,FALSE)+10,1)</f>
        <v>T</v>
      </c>
      <c r="AB313" s="64" t="str">
        <f>MID(VLOOKUP($A313,Seqs!$A:$B,2,FALSE),VLOOKUP($A313,'NonXtal_SegEnds_Prot#'!$A:$AL,28,FALSE)-4,1)</f>
        <v>P</v>
      </c>
      <c r="AC313" s="90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1395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64" t="str">
        <f>MID(VLOOKUP($A314,Seqs!$A:$B,2,FALSE),VLOOKUP($A314,'NonXtal_SegEnds_Prot#'!A:AL,10,FALSE),1)</f>
        <v>F</v>
      </c>
      <c r="S314" s="90" t="str">
        <f>MID(VLOOKUP($A314,Seqs!$A:$B,2,FALSE),VLOOKUP($A314,'NonXtal_SegEnds_Prot#'!A:AL,10,FALSE)+6,1)</f>
        <v>F</v>
      </c>
      <c r="T314" s="90" t="str">
        <f>MID(VLOOKUP($A314,Seqs!$A:$B,2,FALSE),VLOOKUP($A314,'NonXtal_SegEnds_Prot#'!A:AL,10,FALSE)+7,1)</f>
        <v>T</v>
      </c>
      <c r="U314" s="90" t="str">
        <f>MID(VLOOKUP($A314,Seqs!$A:$B,2,FALSE),VLOOKUP($A314,'NonXtal_SegEnds_Prot#'!A:AL,10,FALSE)+8,1)</f>
        <v>V</v>
      </c>
      <c r="V314" s="90" t="str">
        <f>MID(VLOOKUP($A314,Seqs!$A:$B,2,FALSE),VLOOKUP($A314,'NonXtal_SegEnds_Prot#'!A:AL,10,FALSE)+9,1)</f>
        <v>F</v>
      </c>
      <c r="W314" s="64" t="str">
        <f>MID(VLOOKUP($A314,Seqs!$A:$B,2,FALSE),VLOOKUP($A314,'NonXtal_SegEnds_Prot#'!$A:$AL,22,FALSE)+6,1)</f>
        <v>I</v>
      </c>
      <c r="X314" s="90" t="str">
        <f>MID(VLOOKUP($A314,Seqs!$A:$B,2,FALSE),VLOOKUP($A314,'NonXtal_SegEnds_Prot#'!$A:$AL,22,FALSE)+7,1)</f>
        <v>C</v>
      </c>
      <c r="Y314" s="90" t="str">
        <f>MID(VLOOKUP($A314,Seqs!$A:$B,2,FALSE),VLOOKUP($A314,'NonXtal_SegEnds_Prot#'!$A:$AL,22,FALSE)+8,1)</f>
        <v>G</v>
      </c>
      <c r="Z314" s="90" t="str">
        <f>MID(VLOOKUP($A314,Seqs!$A:$B,2,FALSE),VLOOKUP($A314,'NonXtal_SegEnds_Prot#'!$A:$AL,22,FALSE)+9,1)</f>
        <v>V</v>
      </c>
      <c r="AA314" s="90" t="str">
        <f>MID(VLOOKUP($A314,Seqs!$A:$B,2,FALSE),VLOOKUP($A314,'NonXtal_SegEnds_Prot#'!$A:$AL,22,FALSE)+10,1)</f>
        <v>T</v>
      </c>
      <c r="AB314" s="64" t="str">
        <f>MID(VLOOKUP($A314,Seqs!$A:$B,2,FALSE),VLOOKUP($A314,'NonXtal_SegEnds_Prot#'!$A:$AL,28,FALSE)-4,1)</f>
        <v>P</v>
      </c>
      <c r="AC314" s="90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1396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64" t="str">
        <f>MID(VLOOKUP($A315,Seqs!$A:$B,2,FALSE),VLOOKUP($A315,'NonXtal_SegEnds_Prot#'!A:AL,10,FALSE),1)</f>
        <v>F</v>
      </c>
      <c r="S315" s="90" t="str">
        <f>MID(VLOOKUP($A315,Seqs!$A:$B,2,FALSE),VLOOKUP($A315,'NonXtal_SegEnds_Prot#'!A:AL,10,FALSE)+6,1)</f>
        <v>S</v>
      </c>
      <c r="T315" s="90" t="str">
        <f>MID(VLOOKUP($A315,Seqs!$A:$B,2,FALSE),VLOOKUP($A315,'NonXtal_SegEnds_Prot#'!A:AL,10,FALSE)+7,1)</f>
        <v>A</v>
      </c>
      <c r="U315" s="90" t="str">
        <f>MID(VLOOKUP($A315,Seqs!$A:$B,2,FALSE),VLOOKUP($A315,'NonXtal_SegEnds_Prot#'!A:AL,10,FALSE)+8,1)</f>
        <v>V</v>
      </c>
      <c r="V315" s="90" t="str">
        <f>MID(VLOOKUP($A315,Seqs!$A:$B,2,FALSE),VLOOKUP($A315,'NonXtal_SegEnds_Prot#'!A:AL,10,FALSE)+9,1)</f>
        <v>F</v>
      </c>
      <c r="W315" s="64" t="str">
        <f>MID(VLOOKUP($A315,Seqs!$A:$B,2,FALSE),VLOOKUP($A315,'NonXtal_SegEnds_Prot#'!$A:$AL,22,FALSE)+6,1)</f>
        <v>I</v>
      </c>
      <c r="X315" s="90" t="str">
        <f>MID(VLOOKUP($A315,Seqs!$A:$B,2,FALSE),VLOOKUP($A315,'NonXtal_SegEnds_Prot#'!$A:$AL,22,FALSE)+7,1)</f>
        <v>C</v>
      </c>
      <c r="Y315" s="90" t="str">
        <f>MID(VLOOKUP($A315,Seqs!$A:$B,2,FALSE),VLOOKUP($A315,'NonXtal_SegEnds_Prot#'!$A:$AL,22,FALSE)+8,1)</f>
        <v>G</v>
      </c>
      <c r="Z315" s="90" t="str">
        <f>MID(VLOOKUP($A315,Seqs!$A:$B,2,FALSE),VLOOKUP($A315,'NonXtal_SegEnds_Prot#'!$A:$AL,22,FALSE)+9,1)</f>
        <v>I</v>
      </c>
      <c r="AA315" s="90" t="str">
        <f>MID(VLOOKUP($A315,Seqs!$A:$B,2,FALSE),VLOOKUP($A315,'NonXtal_SegEnds_Prot#'!$A:$AL,22,FALSE)+10,1)</f>
        <v>T</v>
      </c>
      <c r="AB315" s="64" t="str">
        <f>MID(VLOOKUP($A315,Seqs!$A:$B,2,FALSE),VLOOKUP($A315,'NonXtal_SegEnds_Prot#'!$A:$AL,28,FALSE)-4,1)</f>
        <v>P</v>
      </c>
      <c r="AC315" s="90" t="str">
        <f>MID(VLOOKUP($A315,Seqs!$A:$B,2,FALSE),VLOOKUP($A315,'NonXtal_SegEnds_Prot#'!$A:$AL,28,FALSE),1)</f>
        <v>I</v>
      </c>
    </row>
    <row r="316" spans="1:29" s="2" customFormat="1" x14ac:dyDescent="0.2">
      <c r="A316" s="2" t="s">
        <v>1397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64" t="str">
        <f>MID(VLOOKUP($A316,Seqs!$A:$B,2,FALSE),VLOOKUP($A316,'NonXtal_SegEnds_Prot#'!A:AL,10,FALSE),1)</f>
        <v>F</v>
      </c>
      <c r="S316" s="90" t="str">
        <f>MID(VLOOKUP($A316,Seqs!$A:$B,2,FALSE),VLOOKUP($A316,'NonXtal_SegEnds_Prot#'!A:AL,10,FALSE)+6,1)</f>
        <v>C</v>
      </c>
      <c r="T316" s="90" t="str">
        <f>MID(VLOOKUP($A316,Seqs!$A:$B,2,FALSE),VLOOKUP($A316,'NonXtal_SegEnds_Prot#'!A:AL,10,FALSE)+7,1)</f>
        <v>V</v>
      </c>
      <c r="U316" s="90" t="str">
        <f>MID(VLOOKUP($A316,Seqs!$A:$B,2,FALSE),VLOOKUP($A316,'NonXtal_SegEnds_Prot#'!A:AL,10,FALSE)+8,1)</f>
        <v>V</v>
      </c>
      <c r="V316" s="90" t="str">
        <f>MID(VLOOKUP($A316,Seqs!$A:$B,2,FALSE),VLOOKUP($A316,'NonXtal_SegEnds_Prot#'!A:AL,10,FALSE)+9,1)</f>
        <v>F</v>
      </c>
      <c r="W316" s="64" t="str">
        <f>MID(VLOOKUP($A316,Seqs!$A:$B,2,FALSE),VLOOKUP($A316,'NonXtal_SegEnds_Prot#'!$A:$AL,22,FALSE)+6,1)</f>
        <v>V</v>
      </c>
      <c r="X316" s="90" t="str">
        <f>MID(VLOOKUP($A316,Seqs!$A:$B,2,FALSE),VLOOKUP($A316,'NonXtal_SegEnds_Prot#'!$A:$AL,22,FALSE)+7,1)</f>
        <v>C</v>
      </c>
      <c r="Y316" s="90" t="str">
        <f>MID(VLOOKUP($A316,Seqs!$A:$B,2,FALSE),VLOOKUP($A316,'NonXtal_SegEnds_Prot#'!$A:$AL,22,FALSE)+8,1)</f>
        <v>G</v>
      </c>
      <c r="Z316" s="90" t="str">
        <f>MID(VLOOKUP($A316,Seqs!$A:$B,2,FALSE),VLOOKUP($A316,'NonXtal_SegEnds_Prot#'!$A:$AL,22,FALSE)+9,1)</f>
        <v>I</v>
      </c>
      <c r="AA316" s="90" t="str">
        <f>MID(VLOOKUP($A316,Seqs!$A:$B,2,FALSE),VLOOKUP($A316,'NonXtal_SegEnds_Prot#'!$A:$AL,22,FALSE)+10,1)</f>
        <v>T</v>
      </c>
      <c r="AB316" s="64" t="str">
        <f>MID(VLOOKUP($A316,Seqs!$A:$B,2,FALSE),VLOOKUP($A316,'NonXtal_SegEnds_Prot#'!$A:$AL,28,FALSE)-4,1)</f>
        <v>P</v>
      </c>
      <c r="AC316" s="90" t="str">
        <f>MID(VLOOKUP($A316,Seqs!$A:$B,2,FALSE),VLOOKUP($A316,'NonXtal_SegEnds_Prot#'!$A:$AL,28,FALSE),1)</f>
        <v>I</v>
      </c>
    </row>
    <row r="317" spans="1:29" s="2" customFormat="1" x14ac:dyDescent="0.2">
      <c r="A317" s="2" t="s">
        <v>1400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64" t="str">
        <f>MID(VLOOKUP($A317,Seqs!$A:$B,2,FALSE),VLOOKUP($A317,'NonXtal_SegEnds_Prot#'!A:AL,10,FALSE),1)</f>
        <v>V</v>
      </c>
      <c r="S317" s="90" t="str">
        <f>MID(VLOOKUP($A317,Seqs!$A:$B,2,FALSE),VLOOKUP($A317,'NonXtal_SegEnds_Prot#'!A:AL,10,FALSE)+6,1)</f>
        <v>L</v>
      </c>
      <c r="T317" s="90" t="str">
        <f>MID(VLOOKUP($A317,Seqs!$A:$B,2,FALSE),VLOOKUP($A317,'NonXtal_SegEnds_Prot#'!A:AL,10,FALSE)+7,1)</f>
        <v>L</v>
      </c>
      <c r="U317" s="90" t="str">
        <f>MID(VLOOKUP($A317,Seqs!$A:$B,2,FALSE),VLOOKUP($A317,'NonXtal_SegEnds_Prot#'!A:AL,10,FALSE)+8,1)</f>
        <v>L</v>
      </c>
      <c r="V317" s="90" t="str">
        <f>MID(VLOOKUP($A317,Seqs!$A:$B,2,FALSE),VLOOKUP($A317,'NonXtal_SegEnds_Prot#'!A:AL,10,FALSE)+9,1)</f>
        <v>I</v>
      </c>
      <c r="W317" s="64" t="str">
        <f>MID(VLOOKUP($A317,Seqs!$A:$B,2,FALSE),VLOOKUP($A317,'NonXtal_SegEnds_Prot#'!$A:$AL,22,FALSE)+6,1)</f>
        <v>I</v>
      </c>
      <c r="X317" s="90" t="str">
        <f>MID(VLOOKUP($A317,Seqs!$A:$B,2,FALSE),VLOOKUP($A317,'NonXtal_SegEnds_Prot#'!$A:$AL,22,FALSE)+7,1)</f>
        <v>C</v>
      </c>
      <c r="Y317" s="90" t="str">
        <f>MID(VLOOKUP($A317,Seqs!$A:$B,2,FALSE),VLOOKUP($A317,'NonXtal_SegEnds_Prot#'!$A:$AL,22,FALSE)+8,1)</f>
        <v>I</v>
      </c>
      <c r="Z317" s="90" t="str">
        <f>MID(VLOOKUP($A317,Seqs!$A:$B,2,FALSE),VLOOKUP($A317,'NonXtal_SegEnds_Prot#'!$A:$AL,22,FALSE)+9,1)</f>
        <v>I</v>
      </c>
      <c r="AA317" s="90" t="str">
        <f>MID(VLOOKUP($A317,Seqs!$A:$B,2,FALSE),VLOOKUP($A317,'NonXtal_SegEnds_Prot#'!$A:$AL,22,FALSE)+10,1)</f>
        <v>S</v>
      </c>
      <c r="AB317" s="64" t="str">
        <f>MID(VLOOKUP($A317,Seqs!$A:$B,2,FALSE),VLOOKUP($A317,'NonXtal_SegEnds_Prot#'!$A:$AL,28,FALSE)-4,1)</f>
        <v>P</v>
      </c>
      <c r="AC317" s="90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1405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64" t="str">
        <f>MID(VLOOKUP($A318,Seqs!$A:$B,2,FALSE),VLOOKUP($A318,'NonXtal_SegEnds_Prot#'!A:AL,10,FALSE),1)</f>
        <v>L</v>
      </c>
      <c r="S318" s="90" t="str">
        <f>MID(VLOOKUP($A318,Seqs!$A:$B,2,FALSE),VLOOKUP($A318,'NonXtal_SegEnds_Prot#'!A:AL,10,FALSE)+6,1)</f>
        <v>L</v>
      </c>
      <c r="T318" s="90" t="str">
        <f>MID(VLOOKUP($A318,Seqs!$A:$B,2,FALSE),VLOOKUP($A318,'NonXtal_SegEnds_Prot#'!A:AL,10,FALSE)+7,1)</f>
        <v>F</v>
      </c>
      <c r="U318" s="90" t="str">
        <f>MID(VLOOKUP($A318,Seqs!$A:$B,2,FALSE),VLOOKUP($A318,'NonXtal_SegEnds_Prot#'!A:AL,10,FALSE)+8,1)</f>
        <v>L</v>
      </c>
      <c r="V318" s="90" t="str">
        <f>MID(VLOOKUP($A318,Seqs!$A:$B,2,FALSE),VLOOKUP($A318,'NonXtal_SegEnds_Prot#'!A:AL,10,FALSE)+9,1)</f>
        <v>T</v>
      </c>
      <c r="W318" s="64" t="str">
        <f>MID(VLOOKUP($A318,Seqs!$A:$B,2,FALSE),VLOOKUP($A318,'NonXtal_SegEnds_Prot#'!$A:$AL,22,FALSE)+6,1)</f>
        <v>I</v>
      </c>
      <c r="X318" s="90" t="str">
        <f>MID(VLOOKUP($A318,Seqs!$A:$B,2,FALSE),VLOOKUP($A318,'NonXtal_SegEnds_Prot#'!$A:$AL,22,FALSE)+7,1)</f>
        <v>I</v>
      </c>
      <c r="Y318" s="90" t="str">
        <f>MID(VLOOKUP($A318,Seqs!$A:$B,2,FALSE),VLOOKUP($A318,'NonXtal_SegEnds_Prot#'!$A:$AL,22,FALSE)+8,1)</f>
        <v>A</v>
      </c>
      <c r="Z318" s="90" t="str">
        <f>MID(VLOOKUP($A318,Seqs!$A:$B,2,FALSE),VLOOKUP($A318,'NonXtal_SegEnds_Prot#'!$A:$AL,22,FALSE)+9,1)</f>
        <v>V</v>
      </c>
      <c r="AA318" s="90" t="str">
        <f>MID(VLOOKUP($A318,Seqs!$A:$B,2,FALSE),VLOOKUP($A318,'NonXtal_SegEnds_Prot#'!$A:$AL,22,FALSE)+10,1)</f>
        <v>S</v>
      </c>
      <c r="AB318" s="64" t="str">
        <f>MID(VLOOKUP($A318,Seqs!$A:$B,2,FALSE),VLOOKUP($A318,'NonXtal_SegEnds_Prot#'!$A:$AL,28,FALSE)-4,1)</f>
        <v>P</v>
      </c>
      <c r="AC318" s="90" t="str">
        <f>MID(VLOOKUP($A318,Seqs!$A:$B,2,FALSE),VLOOKUP($A318,'NonXtal_SegEnds_Prot#'!$A:$AL,28,FALSE),1)</f>
        <v>I</v>
      </c>
    </row>
    <row r="319" spans="1:29" s="2" customFormat="1" x14ac:dyDescent="0.2">
      <c r="A319" s="2" t="s">
        <v>613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64" t="str">
        <f>MID(VLOOKUP($A319,Seqs!$A:$B,2,FALSE),VLOOKUP($A319,'NonXtal_SegEnds_Prot#'!A:AL,10,FALSE),1)</f>
        <v>L</v>
      </c>
      <c r="S319" s="90" t="str">
        <f>MID(VLOOKUP($A319,Seqs!$A:$B,2,FALSE),VLOOKUP($A319,'NonXtal_SegEnds_Prot#'!A:AL,10,FALSE)+6,1)</f>
        <v>L</v>
      </c>
      <c r="T319" s="90" t="str">
        <f>MID(VLOOKUP($A319,Seqs!$A:$B,2,FALSE),VLOOKUP($A319,'NonXtal_SegEnds_Prot#'!A:AL,10,FALSE)+7,1)</f>
        <v>F</v>
      </c>
      <c r="U319" s="90" t="str">
        <f>MID(VLOOKUP($A319,Seqs!$A:$B,2,FALSE),VLOOKUP($A319,'NonXtal_SegEnds_Prot#'!A:AL,10,FALSE)+8,1)</f>
        <v>L</v>
      </c>
      <c r="V319" s="90" t="str">
        <f>MID(VLOOKUP($A319,Seqs!$A:$B,2,FALSE),VLOOKUP($A319,'NonXtal_SegEnds_Prot#'!A:AL,10,FALSE)+9,1)</f>
        <v>L</v>
      </c>
      <c r="W319" s="64" t="str">
        <f>MID(VLOOKUP($A319,Seqs!$A:$B,2,FALSE),VLOOKUP($A319,'NonXtal_SegEnds_Prot#'!$A:$AL,22,FALSE)+6,1)</f>
        <v>L</v>
      </c>
      <c r="X319" s="90" t="str">
        <f>MID(VLOOKUP($A319,Seqs!$A:$B,2,FALSE),VLOOKUP($A319,'NonXtal_SegEnds_Prot#'!$A:$AL,22,FALSE)+7,1)</f>
        <v>L</v>
      </c>
      <c r="Y319" s="90" t="str">
        <f>MID(VLOOKUP($A319,Seqs!$A:$B,2,FALSE),VLOOKUP($A319,'NonXtal_SegEnds_Prot#'!$A:$AL,22,FALSE)+8,1)</f>
        <v>G</v>
      </c>
      <c r="Z319" s="90" t="str">
        <f>MID(VLOOKUP($A319,Seqs!$A:$B,2,FALSE),VLOOKUP($A319,'NonXtal_SegEnds_Prot#'!$A:$AL,22,FALSE)+9,1)</f>
        <v>L</v>
      </c>
      <c r="AA319" s="90" t="str">
        <f>MID(VLOOKUP($A319,Seqs!$A:$B,2,FALSE),VLOOKUP($A319,'NonXtal_SegEnds_Prot#'!$A:$AL,22,FALSE)+10,1)</f>
        <v>A</v>
      </c>
      <c r="AB319" s="64" t="str">
        <f>MID(VLOOKUP($A319,Seqs!$A:$B,2,FALSE),VLOOKUP($A319,'NonXtal_SegEnds_Prot#'!$A:$AL,28,FALSE)-4,1)</f>
        <v>P</v>
      </c>
      <c r="AC319" s="90" t="str">
        <f>MID(VLOOKUP($A319,Seqs!$A:$B,2,FALSE),VLOOKUP($A319,'NonXtal_SegEnds_Prot#'!$A:$AL,28,FALSE),1)</f>
        <v>V</v>
      </c>
    </row>
    <row r="320" spans="1:29" s="2" customFormat="1" x14ac:dyDescent="0.2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64" t="str">
        <f>MID(VLOOKUP($A320,Seqs!$A:$B,2,FALSE),VLOOKUP($A320,'NonXtal_SegEnds_Prot#'!A:AL,10,FALSE),1)</f>
        <v>A</v>
      </c>
      <c r="S320" s="90" t="str">
        <f>MID(VLOOKUP($A320,Seqs!$A:$B,2,FALSE),VLOOKUP($A320,'NonXtal_SegEnds_Prot#'!A:AL,10,FALSE)+6,1)</f>
        <v>A</v>
      </c>
      <c r="T320" s="90" t="str">
        <f>MID(VLOOKUP($A320,Seqs!$A:$B,2,FALSE),VLOOKUP($A320,'NonXtal_SegEnds_Prot#'!A:AL,10,FALSE)+7,1)</f>
        <v>D</v>
      </c>
      <c r="U320" s="90" t="str">
        <f>MID(VLOOKUP($A320,Seqs!$A:$B,2,FALSE),VLOOKUP($A320,'NonXtal_SegEnds_Prot#'!A:AL,10,FALSE)+8,1)</f>
        <v>V</v>
      </c>
      <c r="V320" s="90" t="str">
        <f>MID(VLOOKUP($A320,Seqs!$A:$B,2,FALSE),VLOOKUP($A320,'NonXtal_SegEnds_Prot#'!A:AL,10,FALSE)+9,1)</f>
        <v>W</v>
      </c>
      <c r="W320" s="64" t="str">
        <f>MID(VLOOKUP($A320,Seqs!$A:$B,2,FALSE),VLOOKUP($A320,'NonXtal_SegEnds_Prot#'!$A:$AL,22,FALSE)+6,1)</f>
        <v>I</v>
      </c>
      <c r="X320" s="90" t="str">
        <f>MID(VLOOKUP($A320,Seqs!$A:$B,2,FALSE),VLOOKUP($A320,'NonXtal_SegEnds_Prot#'!$A:$AL,22,FALSE)+7,1)</f>
        <v>S</v>
      </c>
      <c r="Y320" s="90" t="str">
        <f>MID(VLOOKUP($A320,Seqs!$A:$B,2,FALSE),VLOOKUP($A320,'NonXtal_SegEnds_Prot#'!$A:$AL,22,FALSE)+8,1)</f>
        <v>V</v>
      </c>
      <c r="Z320" s="90" t="str">
        <f>MID(VLOOKUP($A320,Seqs!$A:$B,2,FALSE),VLOOKUP($A320,'NonXtal_SegEnds_Prot#'!$A:$AL,22,FALSE)+9,1)</f>
        <v>I</v>
      </c>
      <c r="AA320" s="90" t="str">
        <f>MID(VLOOKUP($A320,Seqs!$A:$B,2,FALSE),VLOOKUP($A320,'NonXtal_SegEnds_Prot#'!$A:$AL,22,FALSE)+10,1)</f>
        <v>T</v>
      </c>
      <c r="AB320" s="64" t="str">
        <f>MID(VLOOKUP($A320,Seqs!$A:$B,2,FALSE),VLOOKUP($A320,'NonXtal_SegEnds_Prot#'!$A:$AL,28,FALSE)-4,1)</f>
        <v>P</v>
      </c>
      <c r="AC320" s="90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1410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64" t="str">
        <f>MID(VLOOKUP($A321,Seqs!$A:$B,2,FALSE),VLOOKUP($A321,'NonXtal_SegEnds_Prot#'!A:AL,10,FALSE),1)</f>
        <v>A</v>
      </c>
      <c r="S321" s="90" t="str">
        <f>MID(VLOOKUP($A321,Seqs!$A:$B,2,FALSE),VLOOKUP($A321,'NonXtal_SegEnds_Prot#'!A:AL,10,FALSE)+6,1)</f>
        <v>A</v>
      </c>
      <c r="T321" s="90" t="str">
        <f>MID(VLOOKUP($A321,Seqs!$A:$B,2,FALSE),VLOOKUP($A321,'NonXtal_SegEnds_Prot#'!A:AL,10,FALSE)+7,1)</f>
        <v>N</v>
      </c>
      <c r="U321" s="90" t="str">
        <f>MID(VLOOKUP($A321,Seqs!$A:$B,2,FALSE),VLOOKUP($A321,'NonXtal_SegEnds_Prot#'!A:AL,10,FALSE)+8,1)</f>
        <v>T</v>
      </c>
      <c r="V321" s="90" t="str">
        <f>MID(VLOOKUP($A321,Seqs!$A:$B,2,FALSE),VLOOKUP($A321,'NonXtal_SegEnds_Prot#'!A:AL,10,FALSE)+9,1)</f>
        <v>W</v>
      </c>
      <c r="W321" s="64" t="str">
        <f>MID(VLOOKUP($A321,Seqs!$A:$B,2,FALSE),VLOOKUP($A321,'NonXtal_SegEnds_Prot#'!$A:$AL,22,FALSE)+6,1)</f>
        <v>I</v>
      </c>
      <c r="X321" s="90" t="str">
        <f>MID(VLOOKUP($A321,Seqs!$A:$B,2,FALSE),VLOOKUP($A321,'NonXtal_SegEnds_Prot#'!$A:$AL,22,FALSE)+7,1)</f>
        <v>S</v>
      </c>
      <c r="Y321" s="90" t="str">
        <f>MID(VLOOKUP($A321,Seqs!$A:$B,2,FALSE),VLOOKUP($A321,'NonXtal_SegEnds_Prot#'!$A:$AL,22,FALSE)+8,1)</f>
        <v>V</v>
      </c>
      <c r="Z321" s="90" t="str">
        <f>MID(VLOOKUP($A321,Seqs!$A:$B,2,FALSE),VLOOKUP($A321,'NonXtal_SegEnds_Prot#'!$A:$AL,22,FALSE)+9,1)</f>
        <v>I</v>
      </c>
      <c r="AA321" s="90" t="str">
        <f>MID(VLOOKUP($A321,Seqs!$A:$B,2,FALSE),VLOOKUP($A321,'NonXtal_SegEnds_Prot#'!$A:$AL,22,FALSE)+10,1)</f>
        <v>T</v>
      </c>
      <c r="AB321" s="64" t="str">
        <f>MID(VLOOKUP($A321,Seqs!$A:$B,2,FALSE),VLOOKUP($A321,'NonXtal_SegEnds_Prot#'!$A:$AL,28,FALSE)-4,1)</f>
        <v>P</v>
      </c>
      <c r="AC321" s="90" t="str">
        <f>MID(VLOOKUP($A321,Seqs!$A:$B,2,FALSE),VLOOKUP($A321,'NonXtal_SegEnds_Prot#'!$A:$AL,28,FALSE),1)</f>
        <v>I</v>
      </c>
    </row>
    <row r="322" spans="1:29" s="2" customFormat="1" x14ac:dyDescent="0.2">
      <c r="A322" s="2" t="s">
        <v>611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64" t="str">
        <f>MID(VLOOKUP($A322,Seqs!$A:$B,2,FALSE),VLOOKUP($A322,'NonXtal_SegEnds_Prot#'!A:AL,10,FALSE),1)</f>
        <v>L</v>
      </c>
      <c r="S322" s="90" t="str">
        <f>MID(VLOOKUP($A322,Seqs!$A:$B,2,FALSE),VLOOKUP($A322,'NonXtal_SegEnds_Prot#'!A:AL,10,FALSE)+6,1)</f>
        <v>V</v>
      </c>
      <c r="T322" s="90" t="str">
        <f>MID(VLOOKUP($A322,Seqs!$A:$B,2,FALSE),VLOOKUP($A322,'NonXtal_SegEnds_Prot#'!A:AL,10,FALSE)+7,1)</f>
        <v>F</v>
      </c>
      <c r="U322" s="90" t="str">
        <f>MID(VLOOKUP($A322,Seqs!$A:$B,2,FALSE),VLOOKUP($A322,'NonXtal_SegEnds_Prot#'!A:AL,10,FALSE)+8,1)</f>
        <v>V</v>
      </c>
      <c r="V322" s="90" t="str">
        <f>MID(VLOOKUP($A322,Seqs!$A:$B,2,FALSE),VLOOKUP($A322,'NonXtal_SegEnds_Prot#'!A:AL,10,FALSE)+9,1)</f>
        <v>I</v>
      </c>
      <c r="W322" s="64" t="str">
        <f>MID(VLOOKUP($A322,Seqs!$A:$B,2,FALSE),VLOOKUP($A322,'NonXtal_SegEnds_Prot#'!$A:$AL,22,FALSE)+6,1)</f>
        <v>V</v>
      </c>
      <c r="X322" s="90" t="str">
        <f>MID(VLOOKUP($A322,Seqs!$A:$B,2,FALSE),VLOOKUP($A322,'NonXtal_SegEnds_Prot#'!$A:$AL,22,FALSE)+7,1)</f>
        <v>T</v>
      </c>
      <c r="Y322" s="90" t="str">
        <f>MID(VLOOKUP($A322,Seqs!$A:$B,2,FALSE),VLOOKUP($A322,'NonXtal_SegEnds_Prot#'!$A:$AL,22,FALSE)+8,1)</f>
        <v>G</v>
      </c>
      <c r="Z322" s="90" t="str">
        <f>MID(VLOOKUP($A322,Seqs!$A:$B,2,FALSE),VLOOKUP($A322,'NonXtal_SegEnds_Prot#'!$A:$AL,22,FALSE)+9,1)</f>
        <v>L</v>
      </c>
      <c r="AA322" s="90" t="str">
        <f>MID(VLOOKUP($A322,Seqs!$A:$B,2,FALSE),VLOOKUP($A322,'NonXtal_SegEnds_Prot#'!$A:$AL,22,FALSE)+10,1)</f>
        <v>A</v>
      </c>
      <c r="AB322" s="64" t="str">
        <f>MID(VLOOKUP($A322,Seqs!$A:$B,2,FALSE),VLOOKUP($A322,'NonXtal_SegEnds_Prot#'!$A:$AL,28,FALSE)-4,1)</f>
        <v>P</v>
      </c>
      <c r="AC322" s="90" t="str">
        <f>MID(VLOOKUP($A322,Seqs!$A:$B,2,FALSE),VLOOKUP($A322,'NonXtal_SegEnds_Prot#'!$A:$AL,28,FALSE),1)</f>
        <v>V</v>
      </c>
    </row>
    <row r="323" spans="1:29" s="2" customFormat="1" x14ac:dyDescent="0.2">
      <c r="A323" s="2" t="s">
        <v>612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64" t="str">
        <f>MID(VLOOKUP($A323,Seqs!$A:$B,2,FALSE),VLOOKUP($A323,'NonXtal_SegEnds_Prot#'!A:AL,10,FALSE),1)</f>
        <v>L</v>
      </c>
      <c r="S323" s="90" t="str">
        <f>MID(VLOOKUP($A323,Seqs!$A:$B,2,FALSE),VLOOKUP($A323,'NonXtal_SegEnds_Prot#'!A:AL,10,FALSE)+6,1)</f>
        <v>V</v>
      </c>
      <c r="T323" s="90" t="str">
        <f>MID(VLOOKUP($A323,Seqs!$A:$B,2,FALSE),VLOOKUP($A323,'NonXtal_SegEnds_Prot#'!A:AL,10,FALSE)+7,1)</f>
        <v>F</v>
      </c>
      <c r="U323" s="90" t="str">
        <f>MID(VLOOKUP($A323,Seqs!$A:$B,2,FALSE),VLOOKUP($A323,'NonXtal_SegEnds_Prot#'!A:AL,10,FALSE)+8,1)</f>
        <v>L</v>
      </c>
      <c r="V323" s="90" t="str">
        <f>MID(VLOOKUP($A323,Seqs!$A:$B,2,FALSE),VLOOKUP($A323,'NonXtal_SegEnds_Prot#'!A:AL,10,FALSE)+9,1)</f>
        <v>L</v>
      </c>
      <c r="W323" s="64" t="str">
        <f>MID(VLOOKUP($A323,Seqs!$A:$B,2,FALSE),VLOOKUP($A323,'NonXtal_SegEnds_Prot#'!$A:$AL,22,FALSE)+6,1)</f>
        <v>I</v>
      </c>
      <c r="X323" s="90" t="str">
        <f>MID(VLOOKUP($A323,Seqs!$A:$B,2,FALSE),VLOOKUP($A323,'NonXtal_SegEnds_Prot#'!$A:$AL,22,FALSE)+7,1)</f>
        <v>T</v>
      </c>
      <c r="Y323" s="90" t="str">
        <f>MID(VLOOKUP($A323,Seqs!$A:$B,2,FALSE),VLOOKUP($A323,'NonXtal_SegEnds_Prot#'!$A:$AL,22,FALSE)+8,1)</f>
        <v>G</v>
      </c>
      <c r="Z323" s="90" t="str">
        <f>MID(VLOOKUP($A323,Seqs!$A:$B,2,FALSE),VLOOKUP($A323,'NonXtal_SegEnds_Prot#'!$A:$AL,22,FALSE)+9,1)</f>
        <v>L</v>
      </c>
      <c r="AA323" s="90" t="str">
        <f>MID(VLOOKUP($A323,Seqs!$A:$B,2,FALSE),VLOOKUP($A323,'NonXtal_SegEnds_Prot#'!$A:$AL,22,FALSE)+10,1)</f>
        <v>A</v>
      </c>
      <c r="AB323" s="64" t="str">
        <f>MID(VLOOKUP($A323,Seqs!$A:$B,2,FALSE),VLOOKUP($A323,'NonXtal_SegEnds_Prot#'!$A:$AL,28,FALSE)-4,1)</f>
        <v>P</v>
      </c>
      <c r="AC323" s="90" t="str">
        <f>MID(VLOOKUP($A323,Seqs!$A:$B,2,FALSE),VLOOKUP($A323,'NonXtal_SegEnds_Prot#'!$A:$AL,28,FALSE),1)</f>
        <v>A</v>
      </c>
    </row>
    <row r="324" spans="1:29" s="2" customFormat="1" x14ac:dyDescent="0.2">
      <c r="A324" s="2" t="s">
        <v>1398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64" t="str">
        <f>MID(VLOOKUP($A324,Seqs!$A:$B,2,FALSE),VLOOKUP($A324,'NonXtal_SegEnds_Prot#'!A:AL,10,FALSE),1)</f>
        <v>I</v>
      </c>
      <c r="S324" s="90" t="str">
        <f>MID(VLOOKUP($A324,Seqs!$A:$B,2,FALSE),VLOOKUP($A324,'NonXtal_SegEnds_Prot#'!A:AL,10,FALSE)+6,1)</f>
        <v>L</v>
      </c>
      <c r="T324" s="90" t="str">
        <f>MID(VLOOKUP($A324,Seqs!$A:$B,2,FALSE),VLOOKUP($A324,'NonXtal_SegEnds_Prot#'!A:AL,10,FALSE)+7,1)</f>
        <v>I</v>
      </c>
      <c r="U324" s="90" t="str">
        <f>MID(VLOOKUP($A324,Seqs!$A:$B,2,FALSE),VLOOKUP($A324,'NonXtal_SegEnds_Prot#'!A:AL,10,FALSE)+8,1)</f>
        <v>L</v>
      </c>
      <c r="V324" s="90" t="str">
        <f>MID(VLOOKUP($A324,Seqs!$A:$B,2,FALSE),VLOOKUP($A324,'NonXtal_SegEnds_Prot#'!A:AL,10,FALSE)+9,1)</f>
        <v>V</v>
      </c>
      <c r="W324" s="64" t="str">
        <f>MID(VLOOKUP($A324,Seqs!$A:$B,2,FALSE),VLOOKUP($A324,'NonXtal_SegEnds_Prot#'!$A:$AL,22,FALSE)+6,1)</f>
        <v>V</v>
      </c>
      <c r="X324" s="90" t="str">
        <f>MID(VLOOKUP($A324,Seqs!$A:$B,2,FALSE),VLOOKUP($A324,'NonXtal_SegEnds_Prot#'!$A:$AL,22,FALSE)+7,1)</f>
        <v>V</v>
      </c>
      <c r="Y324" s="90" t="str">
        <f>MID(VLOOKUP($A324,Seqs!$A:$B,2,FALSE),VLOOKUP($A324,'NonXtal_SegEnds_Prot#'!$A:$AL,22,FALSE)+8,1)</f>
        <v>A</v>
      </c>
      <c r="Z324" s="90" t="str">
        <f>MID(VLOOKUP($A324,Seqs!$A:$B,2,FALSE),VLOOKUP($A324,'NonXtal_SegEnds_Prot#'!$A:$AL,22,FALSE)+9,1)</f>
        <v>V</v>
      </c>
      <c r="AA324" s="90" t="str">
        <f>MID(VLOOKUP($A324,Seqs!$A:$B,2,FALSE),VLOOKUP($A324,'NonXtal_SegEnds_Prot#'!$A:$AL,22,FALSE)+10,1)</f>
        <v>S</v>
      </c>
      <c r="AB324" s="64" t="str">
        <f>MID(VLOOKUP($A324,Seqs!$A:$B,2,FALSE),VLOOKUP($A324,'NonXtal_SegEnds_Prot#'!$A:$AL,28,FALSE)-4,1)</f>
        <v>P</v>
      </c>
      <c r="AC324" s="90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1399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64" t="str">
        <f>MID(VLOOKUP($A325,Seqs!$A:$B,2,FALSE),VLOOKUP($A325,'NonXtal_SegEnds_Prot#'!A:AL,10,FALSE),1)</f>
        <v>I</v>
      </c>
      <c r="S325" s="90" t="str">
        <f>MID(VLOOKUP($A325,Seqs!$A:$B,2,FALSE),VLOOKUP($A325,'NonXtal_SegEnds_Prot#'!A:AL,10,FALSE)+6,1)</f>
        <v>L</v>
      </c>
      <c r="T325" s="90" t="str">
        <f>MID(VLOOKUP($A325,Seqs!$A:$B,2,FALSE),VLOOKUP($A325,'NonXtal_SegEnds_Prot#'!A:AL,10,FALSE)+7,1)</f>
        <v>I</v>
      </c>
      <c r="U325" s="90" t="str">
        <f>MID(VLOOKUP($A325,Seqs!$A:$B,2,FALSE),VLOOKUP($A325,'NonXtal_SegEnds_Prot#'!A:AL,10,FALSE)+8,1)</f>
        <v>L</v>
      </c>
      <c r="V325" s="90" t="str">
        <f>MID(VLOOKUP($A325,Seqs!$A:$B,2,FALSE),VLOOKUP($A325,'NonXtal_SegEnds_Prot#'!A:AL,10,FALSE)+9,1)</f>
        <v>V</v>
      </c>
      <c r="W325" s="64" t="str">
        <f>MID(VLOOKUP($A325,Seqs!$A:$B,2,FALSE),VLOOKUP($A325,'NonXtal_SegEnds_Prot#'!$A:$AL,22,FALSE)+6,1)</f>
        <v>V</v>
      </c>
      <c r="X325" s="90" t="str">
        <f>MID(VLOOKUP($A325,Seqs!$A:$B,2,FALSE),VLOOKUP($A325,'NonXtal_SegEnds_Prot#'!$A:$AL,22,FALSE)+7,1)</f>
        <v>V</v>
      </c>
      <c r="Y325" s="90" t="str">
        <f>MID(VLOOKUP($A325,Seqs!$A:$B,2,FALSE),VLOOKUP($A325,'NonXtal_SegEnds_Prot#'!$A:$AL,22,FALSE)+8,1)</f>
        <v>A</v>
      </c>
      <c r="Z325" s="90" t="str">
        <f>MID(VLOOKUP($A325,Seqs!$A:$B,2,FALSE),VLOOKUP($A325,'NonXtal_SegEnds_Prot#'!$A:$AL,22,FALSE)+9,1)</f>
        <v>T</v>
      </c>
      <c r="AA325" s="90" t="str">
        <f>MID(VLOOKUP($A325,Seqs!$A:$B,2,FALSE),VLOOKUP($A325,'NonXtal_SegEnds_Prot#'!$A:$AL,22,FALSE)+10,1)</f>
        <v>S</v>
      </c>
      <c r="AB325" s="64" t="str">
        <f>MID(VLOOKUP($A325,Seqs!$A:$B,2,FALSE),VLOOKUP($A325,'NonXtal_SegEnds_Prot#'!$A:$AL,28,FALSE)-4,1)</f>
        <v>P</v>
      </c>
      <c r="AC325" s="90" t="str">
        <f>MID(VLOOKUP($A325,Seqs!$A:$B,2,FALSE),VLOOKUP($A325,'NonXtal_SegEnds_Prot#'!$A:$AL,28,FALSE),1)</f>
        <v>V</v>
      </c>
    </row>
    <row r="326" spans="1:29" s="2" customFormat="1" x14ac:dyDescent="0.2">
      <c r="A326" s="2" t="s">
        <v>1401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64" t="str">
        <f>MID(VLOOKUP($A326,Seqs!$A:$B,2,FALSE),VLOOKUP($A326,'NonXtal_SegEnds_Prot#'!A:AL,10,FALSE),1)</f>
        <v>L</v>
      </c>
      <c r="S326" s="90" t="str">
        <f>MID(VLOOKUP($A326,Seqs!$A:$B,2,FALSE),VLOOKUP($A326,'NonXtal_SegEnds_Prot#'!A:AL,10,FALSE)+6,1)</f>
        <v>F</v>
      </c>
      <c r="T326" s="90" t="str">
        <f>MID(VLOOKUP($A326,Seqs!$A:$B,2,FALSE),VLOOKUP($A326,'NonXtal_SegEnds_Prot#'!A:AL,10,FALSE)+7,1)</f>
        <v>L</v>
      </c>
      <c r="U326" s="90" t="str">
        <f>MID(VLOOKUP($A326,Seqs!$A:$B,2,FALSE),VLOOKUP($A326,'NonXtal_SegEnds_Prot#'!A:AL,10,FALSE)+8,1)</f>
        <v>M</v>
      </c>
      <c r="V326" s="90" t="str">
        <f>MID(VLOOKUP($A326,Seqs!$A:$B,2,FALSE),VLOOKUP($A326,'NonXtal_SegEnds_Prot#'!A:AL,10,FALSE)+9,1)</f>
        <v>T</v>
      </c>
      <c r="W326" s="64" t="str">
        <f>MID(VLOOKUP($A326,Seqs!$A:$B,2,FALSE),VLOOKUP($A326,'NonXtal_SegEnds_Prot#'!$A:$AL,22,FALSE)+6,1)</f>
        <v>I</v>
      </c>
      <c r="X326" s="90" t="str">
        <f>MID(VLOOKUP($A326,Seqs!$A:$B,2,FALSE),VLOOKUP($A326,'NonXtal_SegEnds_Prot#'!$A:$AL,22,FALSE)+7,1)</f>
        <v>V</v>
      </c>
      <c r="Y326" s="90" t="str">
        <f>MID(VLOOKUP($A326,Seqs!$A:$B,2,FALSE),VLOOKUP($A326,'NonXtal_SegEnds_Prot#'!$A:$AL,22,FALSE)+8,1)</f>
        <v>A</v>
      </c>
      <c r="Z326" s="90" t="str">
        <f>MID(VLOOKUP($A326,Seqs!$A:$B,2,FALSE),VLOOKUP($A326,'NonXtal_SegEnds_Prot#'!$A:$AL,22,FALSE)+9,1)</f>
        <v>V</v>
      </c>
      <c r="AA326" s="90" t="str">
        <f>MID(VLOOKUP($A326,Seqs!$A:$B,2,FALSE),VLOOKUP($A326,'NonXtal_SegEnds_Prot#'!$A:$AL,22,FALSE)+10,1)</f>
        <v>T</v>
      </c>
      <c r="AB326" s="64" t="str">
        <f>MID(VLOOKUP($A326,Seqs!$A:$B,2,FALSE),VLOOKUP($A326,'NonXtal_SegEnds_Prot#'!$A:$AL,28,FALSE)-4,1)</f>
        <v>P</v>
      </c>
      <c r="AC326" s="90" t="str">
        <f>MID(VLOOKUP($A326,Seqs!$A:$B,2,FALSE),VLOOKUP($A326,'NonXtal_SegEnds_Prot#'!$A:$AL,28,FALSE),1)</f>
        <v>V</v>
      </c>
    </row>
    <row r="327" spans="1:29" s="2" customFormat="1" x14ac:dyDescent="0.2">
      <c r="A327" s="2" t="s">
        <v>1402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64" t="str">
        <f>MID(VLOOKUP($A327,Seqs!$A:$B,2,FALSE),VLOOKUP($A327,'NonXtal_SegEnds_Prot#'!A:AL,10,FALSE),1)</f>
        <v>L</v>
      </c>
      <c r="S327" s="90" t="str">
        <f>MID(VLOOKUP($A327,Seqs!$A:$B,2,FALSE),VLOOKUP($A327,'NonXtal_SegEnds_Prot#'!A:AL,10,FALSE)+6,1)</f>
        <v>L</v>
      </c>
      <c r="T327" s="90" t="str">
        <f>MID(VLOOKUP($A327,Seqs!$A:$B,2,FALSE),VLOOKUP($A327,'NonXtal_SegEnds_Prot#'!A:AL,10,FALSE)+7,1)</f>
        <v>F</v>
      </c>
      <c r="U327" s="90" t="str">
        <f>MID(VLOOKUP($A327,Seqs!$A:$B,2,FALSE),VLOOKUP($A327,'NonXtal_SegEnds_Prot#'!A:AL,10,FALSE)+8,1)</f>
        <v>L</v>
      </c>
      <c r="V327" s="90" t="str">
        <f>MID(VLOOKUP($A327,Seqs!$A:$B,2,FALSE),VLOOKUP($A327,'NonXtal_SegEnds_Prot#'!A:AL,10,FALSE)+9,1)</f>
        <v>A</v>
      </c>
      <c r="W327" s="64" t="str">
        <f>MID(VLOOKUP($A327,Seqs!$A:$B,2,FALSE),VLOOKUP($A327,'NonXtal_SegEnds_Prot#'!$A:$AL,22,FALSE)+6,1)</f>
        <v>V</v>
      </c>
      <c r="X327" s="90" t="str">
        <f>MID(VLOOKUP($A327,Seqs!$A:$B,2,FALSE),VLOOKUP($A327,'NonXtal_SegEnds_Prot#'!$A:$AL,22,FALSE)+7,1)</f>
        <v>V</v>
      </c>
      <c r="Y327" s="90" t="str">
        <f>MID(VLOOKUP($A327,Seqs!$A:$B,2,FALSE),VLOOKUP($A327,'NonXtal_SegEnds_Prot#'!$A:$AL,22,FALSE)+8,1)</f>
        <v>V</v>
      </c>
      <c r="Z327" s="90" t="str">
        <f>MID(VLOOKUP($A327,Seqs!$A:$B,2,FALSE),VLOOKUP($A327,'NonXtal_SegEnds_Prot#'!$A:$AL,22,FALSE)+9,1)</f>
        <v>I</v>
      </c>
      <c r="AA327" s="90" t="str">
        <f>MID(VLOOKUP($A327,Seqs!$A:$B,2,FALSE),VLOOKUP($A327,'NonXtal_SegEnds_Prot#'!$A:$AL,22,FALSE)+10,1)</f>
        <v>S</v>
      </c>
      <c r="AB327" s="64" t="str">
        <f>MID(VLOOKUP($A327,Seqs!$A:$B,2,FALSE),VLOOKUP($A327,'NonXtal_SegEnds_Prot#'!$A:$AL,28,FALSE)-4,1)</f>
        <v>P</v>
      </c>
      <c r="AC327" s="90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1403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64" t="str">
        <f>MID(VLOOKUP($A328,Seqs!$A:$B,2,FALSE),VLOOKUP($A328,'NonXtal_SegEnds_Prot#'!A:AL,10,FALSE),1)</f>
        <v>L</v>
      </c>
      <c r="S328" s="90" t="str">
        <f>MID(VLOOKUP($A328,Seqs!$A:$B,2,FALSE),VLOOKUP($A328,'NonXtal_SegEnds_Prot#'!A:AL,10,FALSE)+6,1)</f>
        <v>L</v>
      </c>
      <c r="T328" s="90" t="str">
        <f>MID(VLOOKUP($A328,Seqs!$A:$B,2,FALSE),VLOOKUP($A328,'NonXtal_SegEnds_Prot#'!A:AL,10,FALSE)+7,1)</f>
        <v>F</v>
      </c>
      <c r="U328" s="90" t="str">
        <f>MID(VLOOKUP($A328,Seqs!$A:$B,2,FALSE),VLOOKUP($A328,'NonXtal_SegEnds_Prot#'!A:AL,10,FALSE)+8,1)</f>
        <v>L</v>
      </c>
      <c r="V328" s="90" t="str">
        <f>MID(VLOOKUP($A328,Seqs!$A:$B,2,FALSE),VLOOKUP($A328,'NonXtal_SegEnds_Prot#'!A:AL,10,FALSE)+9,1)</f>
        <v>V</v>
      </c>
      <c r="W328" s="64" t="str">
        <f>MID(VLOOKUP($A328,Seqs!$A:$B,2,FALSE),VLOOKUP($A328,'NonXtal_SegEnds_Prot#'!$A:$AL,22,FALSE)+6,1)</f>
        <v>T</v>
      </c>
      <c r="X328" s="90" t="str">
        <f>MID(VLOOKUP($A328,Seqs!$A:$B,2,FALSE),VLOOKUP($A328,'NonXtal_SegEnds_Prot#'!$A:$AL,22,FALSE)+7,1)</f>
        <v>V</v>
      </c>
      <c r="Y328" s="90" t="str">
        <f>MID(VLOOKUP($A328,Seqs!$A:$B,2,FALSE),VLOOKUP($A328,'NonXtal_SegEnds_Prot#'!$A:$AL,22,FALSE)+8,1)</f>
        <v>A</v>
      </c>
      <c r="Z328" s="90" t="str">
        <f>MID(VLOOKUP($A328,Seqs!$A:$B,2,FALSE),VLOOKUP($A328,'NonXtal_SegEnds_Prot#'!$A:$AL,22,FALSE)+9,1)</f>
        <v>I</v>
      </c>
      <c r="AA328" s="90" t="str">
        <f>MID(VLOOKUP($A328,Seqs!$A:$B,2,FALSE),VLOOKUP($A328,'NonXtal_SegEnds_Prot#'!$A:$AL,22,FALSE)+10,1)</f>
        <v>S</v>
      </c>
      <c r="AB328" s="64" t="str">
        <f>MID(VLOOKUP($A328,Seqs!$A:$B,2,FALSE),VLOOKUP($A328,'NonXtal_SegEnds_Prot#'!$A:$AL,28,FALSE)-4,1)</f>
        <v>P</v>
      </c>
      <c r="AC328" s="90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1404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64" t="str">
        <f>MID(VLOOKUP($A329,Seqs!$A:$B,2,FALSE),VLOOKUP($A329,'NonXtal_SegEnds_Prot#'!A:AL,10,FALSE),1)</f>
        <v>L</v>
      </c>
      <c r="S329" s="90" t="str">
        <f>MID(VLOOKUP($A329,Seqs!$A:$B,2,FALSE),VLOOKUP($A329,'NonXtal_SegEnds_Prot#'!A:AL,10,FALSE)+6,1)</f>
        <v>L</v>
      </c>
      <c r="T329" s="90" t="str">
        <f>MID(VLOOKUP($A329,Seqs!$A:$B,2,FALSE),VLOOKUP($A329,'NonXtal_SegEnds_Prot#'!A:AL,10,FALSE)+7,1)</f>
        <v>F</v>
      </c>
      <c r="U329" s="90" t="str">
        <f>MID(VLOOKUP($A329,Seqs!$A:$B,2,FALSE),VLOOKUP($A329,'NonXtal_SegEnds_Prot#'!A:AL,10,FALSE)+8,1)</f>
        <v>L</v>
      </c>
      <c r="V329" s="90" t="str">
        <f>MID(VLOOKUP($A329,Seqs!$A:$B,2,FALSE),VLOOKUP($A329,'NonXtal_SegEnds_Prot#'!A:AL,10,FALSE)+9,1)</f>
        <v>V</v>
      </c>
      <c r="W329" s="64" t="str">
        <f>MID(VLOOKUP($A329,Seqs!$A:$B,2,FALSE),VLOOKUP($A329,'NonXtal_SegEnds_Prot#'!$A:$AL,22,FALSE)+6,1)</f>
        <v>T</v>
      </c>
      <c r="X329" s="90" t="str">
        <f>MID(VLOOKUP($A329,Seqs!$A:$B,2,FALSE),VLOOKUP($A329,'NonXtal_SegEnds_Prot#'!$A:$AL,22,FALSE)+7,1)</f>
        <v>V</v>
      </c>
      <c r="Y329" s="90" t="str">
        <f>MID(VLOOKUP($A329,Seqs!$A:$B,2,FALSE),VLOOKUP($A329,'NonXtal_SegEnds_Prot#'!$A:$AL,22,FALSE)+8,1)</f>
        <v>A</v>
      </c>
      <c r="Z329" s="90" t="str">
        <f>MID(VLOOKUP($A329,Seqs!$A:$B,2,FALSE),VLOOKUP($A329,'NonXtal_SegEnds_Prot#'!$A:$AL,22,FALSE)+9,1)</f>
        <v>I</v>
      </c>
      <c r="AA329" s="90" t="str">
        <f>MID(VLOOKUP($A329,Seqs!$A:$B,2,FALSE),VLOOKUP($A329,'NonXtal_SegEnds_Prot#'!$A:$AL,22,FALSE)+10,1)</f>
        <v>S</v>
      </c>
      <c r="AB329" s="64" t="str">
        <f>MID(VLOOKUP($A329,Seqs!$A:$B,2,FALSE),VLOOKUP($A329,'NonXtal_SegEnds_Prot#'!$A:$AL,28,FALSE)-4,1)</f>
        <v>P</v>
      </c>
      <c r="AC329" s="90" t="str">
        <f>MID(VLOOKUP($A329,Seqs!$A:$B,2,FALSE),VLOOKUP($A329,'NonXtal_SegEnds_Prot#'!$A:$AL,28,FALSE),1)</f>
        <v>I</v>
      </c>
    </row>
    <row r="330" spans="1:29" s="2" customFormat="1" x14ac:dyDescent="0.2">
      <c r="A330" s="2" t="s">
        <v>1411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64" t="str">
        <f>MID(VLOOKUP($A330,Seqs!$A:$B,2,FALSE),VLOOKUP($A330,'NonXtal_SegEnds_Prot#'!A:AL,10,FALSE),1)</f>
        <v>V</v>
      </c>
      <c r="S330" s="90" t="str">
        <f>MID(VLOOKUP($A330,Seqs!$A:$B,2,FALSE),VLOOKUP($A330,'NonXtal_SegEnds_Prot#'!A:AL,10,FALSE)+6,1)</f>
        <v>S</v>
      </c>
      <c r="T330" s="90" t="str">
        <f>MID(VLOOKUP($A330,Seqs!$A:$B,2,FALSE),VLOOKUP($A330,'NonXtal_SegEnds_Prot#'!A:AL,10,FALSE)+7,1)</f>
        <v>F</v>
      </c>
      <c r="U330" s="90" t="str">
        <f>MID(VLOOKUP($A330,Seqs!$A:$B,2,FALSE),VLOOKUP($A330,'NonXtal_SegEnds_Prot#'!A:AL,10,FALSE)+8,1)</f>
        <v>L</v>
      </c>
      <c r="V330" s="90" t="str">
        <f>MID(VLOOKUP($A330,Seqs!$A:$B,2,FALSE),VLOOKUP($A330,'NonXtal_SegEnds_Prot#'!A:AL,10,FALSE)+9,1)</f>
        <v>L</v>
      </c>
      <c r="W330" s="64" t="str">
        <f>MID(VLOOKUP($A330,Seqs!$A:$B,2,FALSE),VLOOKUP($A330,'NonXtal_SegEnds_Prot#'!$A:$AL,22,FALSE)+6,1)</f>
        <v>L</v>
      </c>
      <c r="X330" s="90" t="str">
        <f>MID(VLOOKUP($A330,Seqs!$A:$B,2,FALSE),VLOOKUP($A330,'NonXtal_SegEnds_Prot#'!$A:$AL,22,FALSE)+7,1)</f>
        <v>V</v>
      </c>
      <c r="Y330" s="90" t="str">
        <f>MID(VLOOKUP($A330,Seqs!$A:$B,2,FALSE),VLOOKUP($A330,'NonXtal_SegEnds_Prot#'!$A:$AL,22,FALSE)+8,1)</f>
        <v>T</v>
      </c>
      <c r="Z330" s="90" t="str">
        <f>MID(VLOOKUP($A330,Seqs!$A:$B,2,FALSE),VLOOKUP($A330,'NonXtal_SegEnds_Prot#'!$A:$AL,22,FALSE)+9,1)</f>
        <v>L</v>
      </c>
      <c r="AA330" s="90" t="str">
        <f>MID(VLOOKUP($A330,Seqs!$A:$B,2,FALSE),VLOOKUP($A330,'NonXtal_SegEnds_Prot#'!$A:$AL,22,FALSE)+10,1)</f>
        <v>V</v>
      </c>
      <c r="AB330" s="64" t="str">
        <f>MID(VLOOKUP($A330,Seqs!$A:$B,2,FALSE),VLOOKUP($A330,'NonXtal_SegEnds_Prot#'!$A:$AL,28,FALSE)-4,1)</f>
        <v>L</v>
      </c>
      <c r="AC330" s="90" t="str">
        <f>MID(VLOOKUP($A330,Seqs!$A:$B,2,FALSE),VLOOKUP($A330,'NonXtal_SegEnds_Prot#'!$A:$AL,28,FALSE),1)</f>
        <v>V</v>
      </c>
    </row>
    <row r="331" spans="1:29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64" t="str">
        <f>MID(VLOOKUP($A331,Seqs!$A:$B,2,FALSE),VLOOKUP($A331,'NonXtal_SegEnds_Prot#'!A:AL,10,FALSE),1)</f>
        <v>L</v>
      </c>
      <c r="S331" s="90" t="str">
        <f>MID(VLOOKUP($A331,Seqs!$A:$B,2,FALSE),VLOOKUP($A331,'NonXtal_SegEnds_Prot#'!A:AL,10,FALSE)+6,1)</f>
        <v>V</v>
      </c>
      <c r="T331" s="90" t="str">
        <f>MID(VLOOKUP($A331,Seqs!$A:$B,2,FALSE),VLOOKUP($A331,'NonXtal_SegEnds_Prot#'!A:AL,10,FALSE)+7,1)</f>
        <v>F</v>
      </c>
      <c r="U331" s="90" t="str">
        <f>MID(VLOOKUP($A331,Seqs!$A:$B,2,FALSE),VLOOKUP($A331,'NonXtal_SegEnds_Prot#'!A:AL,10,FALSE)+8,1)</f>
        <v>L</v>
      </c>
      <c r="V331" s="90" t="str">
        <f>MID(VLOOKUP($A331,Seqs!$A:$B,2,FALSE),VLOOKUP($A331,'NonXtal_SegEnds_Prot#'!A:AL,10,FALSE)+9,1)</f>
        <v>L</v>
      </c>
      <c r="W331" s="64" t="str">
        <f>MID(VLOOKUP($A331,Seqs!$A:$B,2,FALSE),VLOOKUP($A331,'NonXtal_SegEnds_Prot#'!$A:$AL,22,FALSE)+6,1)</f>
        <v>V</v>
      </c>
      <c r="X331" s="90" t="str">
        <f>MID(VLOOKUP($A331,Seqs!$A:$B,2,FALSE),VLOOKUP($A331,'NonXtal_SegEnds_Prot#'!$A:$AL,22,FALSE)+7,1)</f>
        <v>V</v>
      </c>
      <c r="Y331" s="90" t="str">
        <f>MID(VLOOKUP($A331,Seqs!$A:$B,2,FALSE),VLOOKUP($A331,'NonXtal_SegEnds_Prot#'!$A:$AL,22,FALSE)+8,1)</f>
        <v>T</v>
      </c>
      <c r="Z331" s="90" t="str">
        <f>MID(VLOOKUP($A331,Seqs!$A:$B,2,FALSE),VLOOKUP($A331,'NonXtal_SegEnds_Prot#'!$A:$AL,22,FALSE)+9,1)</f>
        <v>I</v>
      </c>
      <c r="AA331" s="90" t="str">
        <f>MID(VLOOKUP($A331,Seqs!$A:$B,2,FALSE),VLOOKUP($A331,'NonXtal_SegEnds_Prot#'!$A:$AL,22,FALSE)+10,1)</f>
        <v>I</v>
      </c>
      <c r="AB331" s="64" t="str">
        <f>MID(VLOOKUP($A331,Seqs!$A:$B,2,FALSE),VLOOKUP($A331,'NonXtal_SegEnds_Prot#'!$A:$AL,28,FALSE)-4,1)</f>
        <v>Y</v>
      </c>
      <c r="AC331" s="90" t="str">
        <f>MID(VLOOKUP($A331,Seqs!$A:$B,2,FALSE),VLOOKUP($A331,'NonXtal_SegEnds_Prot#'!$A:$AL,28,FALSE),1)</f>
        <v>I</v>
      </c>
    </row>
    <row r="332" spans="1:29" s="2" customFormat="1" x14ac:dyDescent="0.2">
      <c r="A332" s="2" t="s">
        <v>1413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64" t="str">
        <f>MID(VLOOKUP($A332,Seqs!$A:$B,2,FALSE),VLOOKUP($A332,'NonXtal_SegEnds_Prot#'!A:AL,10,FALSE),1)</f>
        <v>L</v>
      </c>
      <c r="S332" s="90" t="str">
        <f>MID(VLOOKUP($A332,Seqs!$A:$B,2,FALSE),VLOOKUP($A332,'NonXtal_SegEnds_Prot#'!A:AL,10,FALSE)+6,1)</f>
        <v>A</v>
      </c>
      <c r="T332" s="90" t="str">
        <f>MID(VLOOKUP($A332,Seqs!$A:$B,2,FALSE),VLOOKUP($A332,'NonXtal_SegEnds_Prot#'!A:AL,10,FALSE)+7,1)</f>
        <v>F</v>
      </c>
      <c r="U332" s="90" t="str">
        <f>MID(VLOOKUP($A332,Seqs!$A:$B,2,FALSE),VLOOKUP($A332,'NonXtal_SegEnds_Prot#'!A:AL,10,FALSE)+8,1)</f>
        <v>L</v>
      </c>
      <c r="V332" s="90" t="str">
        <f>MID(VLOOKUP($A332,Seqs!$A:$B,2,FALSE),VLOOKUP($A332,'NonXtal_SegEnds_Prot#'!A:AL,10,FALSE)+9,1)</f>
        <v>V</v>
      </c>
      <c r="W332" s="64" t="str">
        <f>MID(VLOOKUP($A332,Seqs!$A:$B,2,FALSE),VLOOKUP($A332,'NonXtal_SegEnds_Prot#'!$A:$AL,22,FALSE)+6,1)</f>
        <v>M</v>
      </c>
      <c r="X332" s="90" t="str">
        <f>MID(VLOOKUP($A332,Seqs!$A:$B,2,FALSE),VLOOKUP($A332,'NonXtal_SegEnds_Prot#'!$A:$AL,22,FALSE)+7,1)</f>
        <v>V</v>
      </c>
      <c r="Y332" s="90" t="str">
        <f>MID(VLOOKUP($A332,Seqs!$A:$B,2,FALSE),VLOOKUP($A332,'NonXtal_SegEnds_Prot#'!$A:$AL,22,FALSE)+8,1)</f>
        <v>I</v>
      </c>
      <c r="Z332" s="90" t="str">
        <f>MID(VLOOKUP($A332,Seqs!$A:$B,2,FALSE),VLOOKUP($A332,'NonXtal_SegEnds_Prot#'!$A:$AL,22,FALSE)+9,1)</f>
        <v>G</v>
      </c>
      <c r="AA332" s="90" t="str">
        <f>MID(VLOOKUP($A332,Seqs!$A:$B,2,FALSE),VLOOKUP($A332,'NonXtal_SegEnds_Prot#'!$A:$AL,22,FALSE)+10,1)</f>
        <v>T</v>
      </c>
      <c r="AB332" s="64" t="str">
        <f>MID(VLOOKUP($A332,Seqs!$A:$B,2,FALSE),VLOOKUP($A332,'NonXtal_SegEnds_Prot#'!$A:$AL,28,FALSE)-4,1)</f>
        <v>T</v>
      </c>
      <c r="AC332" s="90" t="str">
        <f>MID(VLOOKUP($A332,Seqs!$A:$B,2,FALSE),VLOOKUP($A332,'NonXtal_SegEnds_Prot#'!$A:$AL,28,FALSE),1)</f>
        <v>Y</v>
      </c>
    </row>
    <row r="333" spans="1:29" s="2" customFormat="1" x14ac:dyDescent="0.2">
      <c r="A333" s="2" t="s">
        <v>1414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64" t="str">
        <f>MID(VLOOKUP($A333,Seqs!$A:$B,2,FALSE),VLOOKUP($A333,'NonXtal_SegEnds_Prot#'!A:AL,10,FALSE),1)</f>
        <v>L</v>
      </c>
      <c r="S333" s="90" t="str">
        <f>MID(VLOOKUP($A333,Seqs!$A:$B,2,FALSE),VLOOKUP($A333,'NonXtal_SegEnds_Prot#'!A:AL,10,FALSE)+6,1)</f>
        <v>V</v>
      </c>
      <c r="T333" s="90" t="str">
        <f>MID(VLOOKUP($A333,Seqs!$A:$B,2,FALSE),VLOOKUP($A333,'NonXtal_SegEnds_Prot#'!A:AL,10,FALSE)+7,1)</f>
        <v>F</v>
      </c>
      <c r="U333" s="90" t="str">
        <f>MID(VLOOKUP($A333,Seqs!$A:$B,2,FALSE),VLOOKUP($A333,'NonXtal_SegEnds_Prot#'!A:AL,10,FALSE)+8,1)</f>
        <v>L</v>
      </c>
      <c r="V333" s="90" t="str">
        <f>MID(VLOOKUP($A333,Seqs!$A:$B,2,FALSE),VLOOKUP($A333,'NonXtal_SegEnds_Prot#'!A:AL,10,FALSE)+9,1)</f>
        <v>I</v>
      </c>
      <c r="W333" s="64" t="str">
        <f>MID(VLOOKUP($A333,Seqs!$A:$B,2,FALSE),VLOOKUP($A333,'NonXtal_SegEnds_Prot#'!$A:$AL,22,FALSE)+6,1)</f>
        <v>M</v>
      </c>
      <c r="X333" s="90" t="str">
        <f>MID(VLOOKUP($A333,Seqs!$A:$B,2,FALSE),VLOOKUP($A333,'NonXtal_SegEnds_Prot#'!$A:$AL,22,FALSE)+7,1)</f>
        <v>V</v>
      </c>
      <c r="Y333" s="90" t="str">
        <f>MID(VLOOKUP($A333,Seqs!$A:$B,2,FALSE),VLOOKUP($A333,'NonXtal_SegEnds_Prot#'!$A:$AL,22,FALSE)+8,1)</f>
        <v>A</v>
      </c>
      <c r="Z333" s="90" t="str">
        <f>MID(VLOOKUP($A333,Seqs!$A:$B,2,FALSE),VLOOKUP($A333,'NonXtal_SegEnds_Prot#'!$A:$AL,22,FALSE)+9,1)</f>
        <v>I</v>
      </c>
      <c r="AA333" s="90" t="str">
        <f>MID(VLOOKUP($A333,Seqs!$A:$B,2,FALSE),VLOOKUP($A333,'NonXtal_SegEnds_Prot#'!$A:$AL,22,FALSE)+10,1)</f>
        <v>T</v>
      </c>
      <c r="AB333" s="64" t="str">
        <f>MID(VLOOKUP($A333,Seqs!$A:$B,2,FALSE),VLOOKUP($A333,'NonXtal_SegEnds_Prot#'!$A:$AL,28,FALSE)-4,1)</f>
        <v>Y</v>
      </c>
      <c r="AC333" s="90" t="str">
        <f>MID(VLOOKUP($A333,Seqs!$A:$B,2,FALSE),VLOOKUP($A333,'NonXtal_SegEnds_Prot#'!$A:$AL,28,FALSE),1)</f>
        <v>I</v>
      </c>
    </row>
    <row r="334" spans="1:29" s="2" customFormat="1" x14ac:dyDescent="0.2">
      <c r="A334" s="2" t="s">
        <v>1415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64" t="str">
        <f>MID(VLOOKUP($A334,Seqs!$A:$B,2,FALSE),VLOOKUP($A334,'NonXtal_SegEnds_Prot#'!A:AL,10,FALSE),1)</f>
        <v>V</v>
      </c>
      <c r="S334" s="90" t="str">
        <f>MID(VLOOKUP($A334,Seqs!$A:$B,2,FALSE),VLOOKUP($A334,'NonXtal_SegEnds_Prot#'!A:AL,10,FALSE)+6,1)</f>
        <v>A</v>
      </c>
      <c r="T334" s="90" t="str">
        <f>MID(VLOOKUP($A334,Seqs!$A:$B,2,FALSE),VLOOKUP($A334,'NonXtal_SegEnds_Prot#'!A:AL,10,FALSE)+7,1)</f>
        <v>F</v>
      </c>
      <c r="U334" s="90" t="str">
        <f>MID(VLOOKUP($A334,Seqs!$A:$B,2,FALSE),VLOOKUP($A334,'NonXtal_SegEnds_Prot#'!A:AL,10,FALSE)+8,1)</f>
        <v>L</v>
      </c>
      <c r="V334" s="90" t="str">
        <f>MID(VLOOKUP($A334,Seqs!$A:$B,2,FALSE),VLOOKUP($A334,'NonXtal_SegEnds_Prot#'!A:AL,10,FALSE)+9,1)</f>
        <v>L</v>
      </c>
      <c r="W334" s="64" t="str">
        <f>MID(VLOOKUP($A334,Seqs!$A:$B,2,FALSE),VLOOKUP($A334,'NonXtal_SegEnds_Prot#'!$A:$AL,22,FALSE)+6,1)</f>
        <v>L</v>
      </c>
      <c r="X334" s="90" t="str">
        <f>MID(VLOOKUP($A334,Seqs!$A:$B,2,FALSE),VLOOKUP($A334,'NonXtal_SegEnds_Prot#'!$A:$AL,22,FALSE)+7,1)</f>
        <v>V</v>
      </c>
      <c r="Y334" s="90" t="str">
        <f>MID(VLOOKUP($A334,Seqs!$A:$B,2,FALSE),VLOOKUP($A334,'NonXtal_SegEnds_Prot#'!$A:$AL,22,FALSE)+8,1)</f>
        <v>L</v>
      </c>
      <c r="Z334" s="90" t="str">
        <f>MID(VLOOKUP($A334,Seqs!$A:$B,2,FALSE),VLOOKUP($A334,'NonXtal_SegEnds_Prot#'!$A:$AL,22,FALSE)+9,1)</f>
        <v>L</v>
      </c>
      <c r="AA334" s="90" t="str">
        <f>MID(VLOOKUP($A334,Seqs!$A:$B,2,FALSE),VLOOKUP($A334,'NonXtal_SegEnds_Prot#'!$A:$AL,22,FALSE)+10,1)</f>
        <v>S</v>
      </c>
      <c r="AB334" s="64" t="str">
        <f>MID(VLOOKUP($A334,Seqs!$A:$B,2,FALSE),VLOOKUP($A334,'NonXtal_SegEnds_Prot#'!$A:$AL,28,FALSE)-4,1)</f>
        <v>Y</v>
      </c>
      <c r="AC334" s="90" t="str">
        <f>MID(VLOOKUP($A334,Seqs!$A:$B,2,FALSE),VLOOKUP($A334,'NonXtal_SegEnds_Prot#'!$A:$AL,28,FALSE),1)</f>
        <v>T</v>
      </c>
    </row>
    <row r="335" spans="1:29" s="2" customFormat="1" x14ac:dyDescent="0.2">
      <c r="A335" s="2" t="s">
        <v>1416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64" t="str">
        <f>MID(VLOOKUP($A335,Seqs!$A:$B,2,FALSE),VLOOKUP($A335,'NonXtal_SegEnds_Prot#'!A:AL,10,FALSE),1)</f>
        <v>M</v>
      </c>
      <c r="S335" s="90" t="str">
        <f>MID(VLOOKUP($A335,Seqs!$A:$B,2,FALSE),VLOOKUP($A335,'NonXtal_SegEnds_Prot#'!A:AL,10,FALSE)+6,1)</f>
        <v>L</v>
      </c>
      <c r="T335" s="90" t="str">
        <f>MID(VLOOKUP($A335,Seqs!$A:$B,2,FALSE),VLOOKUP($A335,'NonXtal_SegEnds_Prot#'!A:AL,10,FALSE)+7,1)</f>
        <v>F</v>
      </c>
      <c r="U335" s="90" t="str">
        <f>MID(VLOOKUP($A335,Seqs!$A:$B,2,FALSE),VLOOKUP($A335,'NonXtal_SegEnds_Prot#'!A:AL,10,FALSE)+8,1)</f>
        <v>V</v>
      </c>
      <c r="V335" s="90" t="str">
        <f>MID(VLOOKUP($A335,Seqs!$A:$B,2,FALSE),VLOOKUP($A335,'NonXtal_SegEnds_Prot#'!A:AL,10,FALSE)+9,1)</f>
        <v>F</v>
      </c>
      <c r="W335" s="64" t="str">
        <f>MID(VLOOKUP($A335,Seqs!$A:$B,2,FALSE),VLOOKUP($A335,'NonXtal_SegEnds_Prot#'!$A:$AL,22,FALSE)+6,1)</f>
        <v>V</v>
      </c>
      <c r="X335" s="90" t="str">
        <f>MID(VLOOKUP($A335,Seqs!$A:$B,2,FALSE),VLOOKUP($A335,'NonXtal_SegEnds_Prot#'!$A:$AL,22,FALSE)+7,1)</f>
        <v>V</v>
      </c>
      <c r="Y335" s="90" t="str">
        <f>MID(VLOOKUP($A335,Seqs!$A:$B,2,FALSE),VLOOKUP($A335,'NonXtal_SegEnds_Prot#'!$A:$AL,22,FALSE)+8,1)</f>
        <v>A</v>
      </c>
      <c r="Z335" s="90" t="str">
        <f>MID(VLOOKUP($A335,Seqs!$A:$B,2,FALSE),VLOOKUP($A335,'NonXtal_SegEnds_Prot#'!$A:$AL,22,FALSE)+9,1)</f>
        <v>I</v>
      </c>
      <c r="AA335" s="90" t="str">
        <f>MID(VLOOKUP($A335,Seqs!$A:$B,2,FALSE),VLOOKUP($A335,'NonXtal_SegEnds_Prot#'!$A:$AL,22,FALSE)+10,1)</f>
        <v>T</v>
      </c>
      <c r="AB335" s="64" t="str">
        <f>MID(VLOOKUP($A335,Seqs!$A:$B,2,FALSE),VLOOKUP($A335,'NonXtal_SegEnds_Prot#'!$A:$AL,28,FALSE)-4,1)</f>
        <v>P</v>
      </c>
      <c r="AC335" s="90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1417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64" t="str">
        <f>MID(VLOOKUP($A336,Seqs!$A:$B,2,FALSE),VLOOKUP($A336,'NonXtal_SegEnds_Prot#'!A:AL,10,FALSE),1)</f>
        <v>L</v>
      </c>
      <c r="S336" s="90" t="str">
        <f>MID(VLOOKUP($A336,Seqs!$A:$B,2,FALSE),VLOOKUP($A336,'NonXtal_SegEnds_Prot#'!A:AL,10,FALSE)+6,1)</f>
        <v>L</v>
      </c>
      <c r="T336" s="90" t="str">
        <f>MID(VLOOKUP($A336,Seqs!$A:$B,2,FALSE),VLOOKUP($A336,'NonXtal_SegEnds_Prot#'!A:AL,10,FALSE)+7,1)</f>
        <v>F</v>
      </c>
      <c r="U336" s="90" t="str">
        <f>MID(VLOOKUP($A336,Seqs!$A:$B,2,FALSE),VLOOKUP($A336,'NonXtal_SegEnds_Prot#'!A:AL,10,FALSE)+8,1)</f>
        <v>L</v>
      </c>
      <c r="V336" s="90" t="str">
        <f>MID(VLOOKUP($A336,Seqs!$A:$B,2,FALSE),VLOOKUP($A336,'NonXtal_SegEnds_Prot#'!A:AL,10,FALSE)+9,1)</f>
        <v>V</v>
      </c>
      <c r="W336" s="64" t="str">
        <f>MID(VLOOKUP($A336,Seqs!$A:$B,2,FALSE),VLOOKUP($A336,'NonXtal_SegEnds_Prot#'!$A:$AL,22,FALSE)+6,1)</f>
        <v>V</v>
      </c>
      <c r="X336" s="90" t="str">
        <f>MID(VLOOKUP($A336,Seqs!$A:$B,2,FALSE),VLOOKUP($A336,'NonXtal_SegEnds_Prot#'!$A:$AL,22,FALSE)+7,1)</f>
        <v>V</v>
      </c>
      <c r="Y336" s="90" t="str">
        <f>MID(VLOOKUP($A336,Seqs!$A:$B,2,FALSE),VLOOKUP($A336,'NonXtal_SegEnds_Prot#'!$A:$AL,22,FALSE)+8,1)</f>
        <v>G</v>
      </c>
      <c r="Z336" s="90" t="str">
        <f>MID(VLOOKUP($A336,Seqs!$A:$B,2,FALSE),VLOOKUP($A336,'NonXtal_SegEnds_Prot#'!$A:$AL,22,FALSE)+9,1)</f>
        <v>I</v>
      </c>
      <c r="AA336" s="90" t="str">
        <f>MID(VLOOKUP($A336,Seqs!$A:$B,2,FALSE),VLOOKUP($A336,'NonXtal_SegEnds_Prot#'!$A:$AL,22,FALSE)+10,1)</f>
        <v>A</v>
      </c>
      <c r="AB336" s="64" t="str">
        <f>MID(VLOOKUP($A336,Seqs!$A:$B,2,FALSE),VLOOKUP($A336,'NonXtal_SegEnds_Prot#'!$A:$AL,28,FALSE)-4,1)</f>
        <v>P</v>
      </c>
      <c r="AC336" s="90" t="str">
        <f>MID(VLOOKUP($A336,Seqs!$A:$B,2,FALSE),VLOOKUP($A336,'NonXtal_SegEnds_Prot#'!$A:$AL,28,FALSE),1)</f>
        <v>V</v>
      </c>
    </row>
    <row r="337" spans="1:29" s="2" customFormat="1" x14ac:dyDescent="0.2">
      <c r="A337" s="2" t="s">
        <v>1418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64" t="str">
        <f>MID(VLOOKUP($A337,Seqs!$A:$B,2,FALSE),VLOOKUP($A337,'NonXtal_SegEnds_Prot#'!A:AL,10,FALSE),1)</f>
        <v>L</v>
      </c>
      <c r="S337" s="90" t="str">
        <f>MID(VLOOKUP($A337,Seqs!$A:$B,2,FALSE),VLOOKUP($A337,'NonXtal_SegEnds_Prot#'!A:AL,10,FALSE)+6,1)</f>
        <v>I</v>
      </c>
      <c r="T337" s="90" t="str">
        <f>MID(VLOOKUP($A337,Seqs!$A:$B,2,FALSE),VLOOKUP($A337,'NonXtal_SegEnds_Prot#'!A:AL,10,FALSE)+7,1)</f>
        <v>F</v>
      </c>
      <c r="U337" s="90" t="str">
        <f>MID(VLOOKUP($A337,Seqs!$A:$B,2,FALSE),VLOOKUP($A337,'NonXtal_SegEnds_Prot#'!A:AL,10,FALSE)+8,1)</f>
        <v>L</v>
      </c>
      <c r="V337" s="90" t="str">
        <f>MID(VLOOKUP($A337,Seqs!$A:$B,2,FALSE),VLOOKUP($A337,'NonXtal_SegEnds_Prot#'!A:AL,10,FALSE)+9,1)</f>
        <v>I</v>
      </c>
      <c r="W337" s="64" t="str">
        <f>MID(VLOOKUP($A337,Seqs!$A:$B,2,FALSE),VLOOKUP($A337,'NonXtal_SegEnds_Prot#'!$A:$AL,22,FALSE)+6,1)</f>
        <v>V</v>
      </c>
      <c r="X337" s="90" t="str">
        <f>MID(VLOOKUP($A337,Seqs!$A:$B,2,FALSE),VLOOKUP($A337,'NonXtal_SegEnds_Prot#'!$A:$AL,22,FALSE)+7,1)</f>
        <v>V</v>
      </c>
      <c r="Y337" s="90" t="str">
        <f>MID(VLOOKUP($A337,Seqs!$A:$B,2,FALSE),VLOOKUP($A337,'NonXtal_SegEnds_Prot#'!$A:$AL,22,FALSE)+8,1)</f>
        <v>G</v>
      </c>
      <c r="Z337" s="90" t="str">
        <f>MID(VLOOKUP($A337,Seqs!$A:$B,2,FALSE),VLOOKUP($A337,'NonXtal_SegEnds_Prot#'!$A:$AL,22,FALSE)+9,1)</f>
        <v>V</v>
      </c>
      <c r="AA337" s="90" t="str">
        <f>MID(VLOOKUP($A337,Seqs!$A:$B,2,FALSE),VLOOKUP($A337,'NonXtal_SegEnds_Prot#'!$A:$AL,22,FALSE)+10,1)</f>
        <v>S</v>
      </c>
      <c r="AB337" s="64" t="str">
        <f>MID(VLOOKUP($A337,Seqs!$A:$B,2,FALSE),VLOOKUP($A337,'NonXtal_SegEnds_Prot#'!$A:$AL,28,FALSE)-4,1)</f>
        <v>P</v>
      </c>
      <c r="AC337" s="90" t="str">
        <f>MID(VLOOKUP($A337,Seqs!$A:$B,2,FALSE),VLOOKUP($A337,'NonXtal_SegEnds_Prot#'!$A:$AL,28,FALSE),1)</f>
        <v>I</v>
      </c>
    </row>
    <row r="338" spans="1:29" s="2" customFormat="1" x14ac:dyDescent="0.2">
      <c r="A338" s="2" t="s">
        <v>1419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64" t="str">
        <f>MID(VLOOKUP($A338,Seqs!$A:$B,2,FALSE),VLOOKUP($A338,'NonXtal_SegEnds_Prot#'!A:AL,10,FALSE),1)</f>
        <v>L</v>
      </c>
      <c r="S338" s="90" t="str">
        <f>MID(VLOOKUP($A338,Seqs!$A:$B,2,FALSE),VLOOKUP($A338,'NonXtal_SegEnds_Prot#'!A:AL,10,FALSE)+6,1)</f>
        <v>L</v>
      </c>
      <c r="T338" s="90" t="str">
        <f>MID(VLOOKUP($A338,Seqs!$A:$B,2,FALSE),VLOOKUP($A338,'NonXtal_SegEnds_Prot#'!A:AL,10,FALSE)+7,1)</f>
        <v>F</v>
      </c>
      <c r="U338" s="90" t="str">
        <f>MID(VLOOKUP($A338,Seqs!$A:$B,2,FALSE),VLOOKUP($A338,'NonXtal_SegEnds_Prot#'!A:AL,10,FALSE)+8,1)</f>
        <v>L</v>
      </c>
      <c r="V338" s="90" t="str">
        <f>MID(VLOOKUP($A338,Seqs!$A:$B,2,FALSE),VLOOKUP($A338,'NonXtal_SegEnds_Prot#'!A:AL,10,FALSE)+9,1)</f>
        <v>I</v>
      </c>
      <c r="W338" s="64" t="str">
        <f>MID(VLOOKUP($A338,Seqs!$A:$B,2,FALSE),VLOOKUP($A338,'NonXtal_SegEnds_Prot#'!$A:$AL,22,FALSE)+6,1)</f>
        <v>I</v>
      </c>
      <c r="X338" s="90" t="str">
        <f>MID(VLOOKUP($A338,Seqs!$A:$B,2,FALSE),VLOOKUP($A338,'NonXtal_SegEnds_Prot#'!$A:$AL,22,FALSE)+7,1)</f>
        <v>V</v>
      </c>
      <c r="Y338" s="90" t="str">
        <f>MID(VLOOKUP($A338,Seqs!$A:$B,2,FALSE),VLOOKUP($A338,'NonXtal_SegEnds_Prot#'!$A:$AL,22,FALSE)+8,1)</f>
        <v>A</v>
      </c>
      <c r="Z338" s="90" t="str">
        <f>MID(VLOOKUP($A338,Seqs!$A:$B,2,FALSE),VLOOKUP($A338,'NonXtal_SegEnds_Prot#'!$A:$AL,22,FALSE)+9,1)</f>
        <v>V</v>
      </c>
      <c r="AA338" s="90" t="str">
        <f>MID(VLOOKUP($A338,Seqs!$A:$B,2,FALSE),VLOOKUP($A338,'NonXtal_SegEnds_Prot#'!$A:$AL,22,FALSE)+10,1)</f>
        <v>S</v>
      </c>
      <c r="AB338" s="64" t="str">
        <f>MID(VLOOKUP($A338,Seqs!$A:$B,2,FALSE),VLOOKUP($A338,'NonXtal_SegEnds_Prot#'!$A:$AL,28,FALSE)-4,1)</f>
        <v>P</v>
      </c>
      <c r="AC338" s="90" t="str">
        <f>MID(VLOOKUP($A338,Seqs!$A:$B,2,FALSE),VLOOKUP($A338,'NonXtal_SegEnds_Prot#'!$A:$AL,28,FALSE),1)</f>
        <v>I</v>
      </c>
    </row>
    <row r="339" spans="1:29" s="2" customFormat="1" x14ac:dyDescent="0.2">
      <c r="A339" s="2" t="s">
        <v>1420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64" t="str">
        <f>MID(VLOOKUP($A339,Seqs!$A:$B,2,FALSE),VLOOKUP($A339,'NonXtal_SegEnds_Prot#'!A:AL,10,FALSE),1)</f>
        <v>L</v>
      </c>
      <c r="S339" s="90" t="str">
        <f>MID(VLOOKUP($A339,Seqs!$A:$B,2,FALSE),VLOOKUP($A339,'NonXtal_SegEnds_Prot#'!A:AL,10,FALSE)+6,1)</f>
        <v>V</v>
      </c>
      <c r="T339" s="90" t="str">
        <f>MID(VLOOKUP($A339,Seqs!$A:$B,2,FALSE),VLOOKUP($A339,'NonXtal_SegEnds_Prot#'!A:AL,10,FALSE)+7,1)</f>
        <v>F</v>
      </c>
      <c r="U339" s="90" t="str">
        <f>MID(VLOOKUP($A339,Seqs!$A:$B,2,FALSE),VLOOKUP($A339,'NonXtal_SegEnds_Prot#'!A:AL,10,FALSE)+8,1)</f>
        <v>L</v>
      </c>
      <c r="V339" s="90" t="str">
        <f>MID(VLOOKUP($A339,Seqs!$A:$B,2,FALSE),VLOOKUP($A339,'NonXtal_SegEnds_Prot#'!A:AL,10,FALSE)+9,1)</f>
        <v>V</v>
      </c>
      <c r="W339" s="64" t="str">
        <f>MID(VLOOKUP($A339,Seqs!$A:$B,2,FALSE),VLOOKUP($A339,'NonXtal_SegEnds_Prot#'!$A:$AL,22,FALSE)+6,1)</f>
        <v>V</v>
      </c>
      <c r="X339" s="90" t="str">
        <f>MID(VLOOKUP($A339,Seqs!$A:$B,2,FALSE),VLOOKUP($A339,'NonXtal_SegEnds_Prot#'!$A:$AL,22,FALSE)+7,1)</f>
        <v>V</v>
      </c>
      <c r="Y339" s="90" t="str">
        <f>MID(VLOOKUP($A339,Seqs!$A:$B,2,FALSE),VLOOKUP($A339,'NonXtal_SegEnds_Prot#'!$A:$AL,22,FALSE)+8,1)</f>
        <v>G</v>
      </c>
      <c r="Z339" s="90" t="str">
        <f>MID(VLOOKUP($A339,Seqs!$A:$B,2,FALSE),VLOOKUP($A339,'NonXtal_SegEnds_Prot#'!$A:$AL,22,FALSE)+9,1)</f>
        <v>F</v>
      </c>
      <c r="AA339" s="90" t="str">
        <f>MID(VLOOKUP($A339,Seqs!$A:$B,2,FALSE),VLOOKUP($A339,'NonXtal_SegEnds_Prot#'!$A:$AL,22,FALSE)+10,1)</f>
        <v>S</v>
      </c>
      <c r="AB339" s="64" t="str">
        <f>MID(VLOOKUP($A339,Seqs!$A:$B,2,FALSE),VLOOKUP($A339,'NonXtal_SegEnds_Prot#'!$A:$AL,28,FALSE)-4,1)</f>
        <v>P</v>
      </c>
      <c r="AC339" s="90" t="str">
        <f>MID(VLOOKUP($A339,Seqs!$A:$B,2,FALSE),VLOOKUP($A339,'NonXtal_SegEnds_Prot#'!$A:$AL,28,FALSE),1)</f>
        <v>I</v>
      </c>
    </row>
    <row r="340" spans="1:29" s="2" customFormat="1" x14ac:dyDescent="0.2">
      <c r="A340" s="2" t="s">
        <v>607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64" t="str">
        <f>MID(VLOOKUP($A340,Seqs!$A:$B,2,FALSE),VLOOKUP($A340,'NonXtal_SegEnds_Prot#'!A:AL,10,FALSE),1)</f>
        <v>I</v>
      </c>
      <c r="S340" s="90" t="str">
        <f>MID(VLOOKUP($A340,Seqs!$A:$B,2,FALSE),VLOOKUP($A340,'NonXtal_SegEnds_Prot#'!A:AL,10,FALSE)+6,1)</f>
        <v>L</v>
      </c>
      <c r="T340" s="90" t="str">
        <f>MID(VLOOKUP($A340,Seqs!$A:$B,2,FALSE),VLOOKUP($A340,'NonXtal_SegEnds_Prot#'!A:AL,10,FALSE)+7,1)</f>
        <v>I</v>
      </c>
      <c r="U340" s="90" t="str">
        <f>MID(VLOOKUP($A340,Seqs!$A:$B,2,FALSE),VLOOKUP($A340,'NonXtal_SegEnds_Prot#'!A:AL,10,FALSE)+8,1)</f>
        <v>L</v>
      </c>
      <c r="V340" s="90" t="str">
        <f>MID(VLOOKUP($A340,Seqs!$A:$B,2,FALSE),VLOOKUP($A340,'NonXtal_SegEnds_Prot#'!A:AL,10,FALSE)+9,1)</f>
        <v>I</v>
      </c>
      <c r="W340" s="64" t="str">
        <f>MID(VLOOKUP($A340,Seqs!$A:$B,2,FALSE),VLOOKUP($A340,'NonXtal_SegEnds_Prot#'!$A:$AL,22,FALSE)+6,1)</f>
        <v>V</v>
      </c>
      <c r="X340" s="90" t="str">
        <f>MID(VLOOKUP($A340,Seqs!$A:$B,2,FALSE),VLOOKUP($A340,'NonXtal_SegEnds_Prot#'!$A:$AL,22,FALSE)+7,1)</f>
        <v>V</v>
      </c>
      <c r="Y340" s="90" t="str">
        <f>MID(VLOOKUP($A340,Seqs!$A:$B,2,FALSE),VLOOKUP($A340,'NonXtal_SegEnds_Prot#'!$A:$AL,22,FALSE)+8,1)</f>
        <v>A</v>
      </c>
      <c r="Z340" s="90" t="str">
        <f>MID(VLOOKUP($A340,Seqs!$A:$B,2,FALSE),VLOOKUP($A340,'NonXtal_SegEnds_Prot#'!$A:$AL,22,FALSE)+9,1)</f>
        <v>I</v>
      </c>
      <c r="AA340" s="90" t="str">
        <f>MID(VLOOKUP($A340,Seqs!$A:$B,2,FALSE),VLOOKUP($A340,'NonXtal_SegEnds_Prot#'!$A:$AL,22,FALSE)+10,1)</f>
        <v>S</v>
      </c>
      <c r="AB340" s="64" t="str">
        <f>MID(VLOOKUP($A340,Seqs!$A:$B,2,FALSE),VLOOKUP($A340,'NonXtal_SegEnds_Prot#'!$A:$AL,28,FALSE)-4,1)</f>
        <v>P</v>
      </c>
      <c r="AC340" s="90" t="str">
        <f>MID(VLOOKUP($A340,Seqs!$A:$B,2,FALSE),VLOOKUP($A340,'NonXtal_SegEnds_Prot#'!$A:$AL,28,FALSE),1)</f>
        <v>V</v>
      </c>
    </row>
    <row r="341" spans="1:29" s="2" customFormat="1" x14ac:dyDescent="0.2">
      <c r="A341" s="2" t="s">
        <v>610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64" t="str">
        <f>MID(VLOOKUP($A341,Seqs!$A:$B,2,FALSE),VLOOKUP($A341,'NonXtal_SegEnds_Prot#'!A:AL,10,FALSE),1)</f>
        <v>L</v>
      </c>
      <c r="S341" s="90" t="str">
        <f>MID(VLOOKUP($A341,Seqs!$A:$B,2,FALSE),VLOOKUP($A341,'NonXtal_SegEnds_Prot#'!A:AL,10,FALSE)+6,1)</f>
        <v>I</v>
      </c>
      <c r="T341" s="90" t="str">
        <f>MID(VLOOKUP($A341,Seqs!$A:$B,2,FALSE),VLOOKUP($A341,'NonXtal_SegEnds_Prot#'!A:AL,10,FALSE)+7,1)</f>
        <v>F</v>
      </c>
      <c r="U341" s="90" t="str">
        <f>MID(VLOOKUP($A341,Seqs!$A:$B,2,FALSE),VLOOKUP($A341,'NonXtal_SegEnds_Prot#'!A:AL,10,FALSE)+8,1)</f>
        <v>L</v>
      </c>
      <c r="V341" s="90" t="str">
        <f>MID(VLOOKUP($A341,Seqs!$A:$B,2,FALSE),VLOOKUP($A341,'NonXtal_SegEnds_Prot#'!A:AL,10,FALSE)+9,1)</f>
        <v>A</v>
      </c>
      <c r="W341" s="64" t="str">
        <f>MID(VLOOKUP($A341,Seqs!$A:$B,2,FALSE),VLOOKUP($A341,'NonXtal_SegEnds_Prot#'!$A:$AL,22,FALSE)+6,1)</f>
        <v>I</v>
      </c>
      <c r="X341" s="90" t="str">
        <f>MID(VLOOKUP($A341,Seqs!$A:$B,2,FALSE),VLOOKUP($A341,'NonXtal_SegEnds_Prot#'!$A:$AL,22,FALSE)+7,1)</f>
        <v>V</v>
      </c>
      <c r="Y341" s="90" t="str">
        <f>MID(VLOOKUP($A341,Seqs!$A:$B,2,FALSE),VLOOKUP($A341,'NonXtal_SegEnds_Prot#'!$A:$AL,22,FALSE)+8,1)</f>
        <v>G</v>
      </c>
      <c r="Z341" s="90" t="str">
        <f>MID(VLOOKUP($A341,Seqs!$A:$B,2,FALSE),VLOOKUP($A341,'NonXtal_SegEnds_Prot#'!$A:$AL,22,FALSE)+9,1)</f>
        <v>V</v>
      </c>
      <c r="AA341" s="90" t="str">
        <f>MID(VLOOKUP($A341,Seqs!$A:$B,2,FALSE),VLOOKUP($A341,'NonXtal_SegEnds_Prot#'!$A:$AL,22,FALSE)+10,1)</f>
        <v>S</v>
      </c>
      <c r="AB341" s="64" t="str">
        <f>MID(VLOOKUP($A341,Seqs!$A:$B,2,FALSE),VLOOKUP($A341,'NonXtal_SegEnds_Prot#'!$A:$AL,28,FALSE)-4,1)</f>
        <v>P</v>
      </c>
      <c r="AC341" s="90" t="str">
        <f>MID(VLOOKUP($A341,Seqs!$A:$B,2,FALSE),VLOOKUP($A341,'NonXtal_SegEnds_Prot#'!$A:$AL,28,FALSE),1)</f>
        <v>I</v>
      </c>
    </row>
    <row r="342" spans="1:29" s="2" customFormat="1" x14ac:dyDescent="0.2">
      <c r="A342" s="2" t="s">
        <v>629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64" t="str">
        <f>MID(VLOOKUP($A342,Seqs!$A:$B,2,FALSE),VLOOKUP($A342,'NonXtal_SegEnds_Prot#'!A:AL,10,FALSE),1)</f>
        <v>L</v>
      </c>
      <c r="S342" s="90" t="str">
        <f>MID(VLOOKUP($A342,Seqs!$A:$B,2,FALSE),VLOOKUP($A342,'NonXtal_SegEnds_Prot#'!A:AL,10,FALSE)+6,1)</f>
        <v>L</v>
      </c>
      <c r="T342" s="90" t="str">
        <f>MID(VLOOKUP($A342,Seqs!$A:$B,2,FALSE),VLOOKUP($A342,'NonXtal_SegEnds_Prot#'!A:AL,10,FALSE)+7,1)</f>
        <v>F</v>
      </c>
      <c r="U342" s="90" t="str">
        <f>MID(VLOOKUP($A342,Seqs!$A:$B,2,FALSE),VLOOKUP($A342,'NonXtal_SegEnds_Prot#'!A:AL,10,FALSE)+8,1)</f>
        <v>L</v>
      </c>
      <c r="V342" s="90" t="str">
        <f>MID(VLOOKUP($A342,Seqs!$A:$B,2,FALSE),VLOOKUP($A342,'NonXtal_SegEnds_Prot#'!A:AL,10,FALSE)+9,1)</f>
        <v>L</v>
      </c>
      <c r="W342" s="64" t="str">
        <f>MID(VLOOKUP($A342,Seqs!$A:$B,2,FALSE),VLOOKUP($A342,'NonXtal_SegEnds_Prot#'!$A:$AL,22,FALSE)+6,1)</f>
        <v>V</v>
      </c>
      <c r="X342" s="90" t="str">
        <f>MID(VLOOKUP($A342,Seqs!$A:$B,2,FALSE),VLOOKUP($A342,'NonXtal_SegEnds_Prot#'!$A:$AL,22,FALSE)+7,1)</f>
        <v>V</v>
      </c>
      <c r="Y342" s="90" t="str">
        <f>MID(VLOOKUP($A342,Seqs!$A:$B,2,FALSE),VLOOKUP($A342,'NonXtal_SegEnds_Prot#'!$A:$AL,22,FALSE)+8,1)</f>
        <v>S</v>
      </c>
      <c r="Z342" s="90" t="str">
        <f>MID(VLOOKUP($A342,Seqs!$A:$B,2,FALSE),VLOOKUP($A342,'NonXtal_SegEnds_Prot#'!$A:$AL,22,FALSE)+9,1)</f>
        <v>V</v>
      </c>
      <c r="AA342" s="90" t="str">
        <f>MID(VLOOKUP($A342,Seqs!$A:$B,2,FALSE),VLOOKUP($A342,'NonXtal_SegEnds_Prot#'!$A:$AL,22,FALSE)+10,1)</f>
        <v>V</v>
      </c>
      <c r="AB342" s="64" t="str">
        <f>MID(VLOOKUP($A342,Seqs!$A:$B,2,FALSE),VLOOKUP($A342,'NonXtal_SegEnds_Prot#'!$A:$AL,28,FALSE)-4,1)</f>
        <v>Y</v>
      </c>
      <c r="AC342" s="90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636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64" t="str">
        <f>MID(VLOOKUP($A343,Seqs!$A:$B,2,FALSE),VLOOKUP($A343,'NonXtal_SegEnds_Prot#'!A:AL,10,FALSE),1)</f>
        <v>S</v>
      </c>
      <c r="S343" s="90" t="str">
        <f>MID(VLOOKUP($A343,Seqs!$A:$B,2,FALSE),VLOOKUP($A343,'NonXtal_SegEnds_Prot#'!A:AL,10,FALSE)+6,1)</f>
        <v>L</v>
      </c>
      <c r="T343" s="90" t="str">
        <f>MID(VLOOKUP($A343,Seqs!$A:$B,2,FALSE),VLOOKUP($A343,'NonXtal_SegEnds_Prot#'!A:AL,10,FALSE)+7,1)</f>
        <v>F</v>
      </c>
      <c r="U343" s="90" t="str">
        <f>MID(VLOOKUP($A343,Seqs!$A:$B,2,FALSE),VLOOKUP($A343,'NonXtal_SegEnds_Prot#'!A:AL,10,FALSE)+8,1)</f>
        <v>L</v>
      </c>
      <c r="V343" s="90" t="str">
        <f>MID(VLOOKUP($A343,Seqs!$A:$B,2,FALSE),VLOOKUP($A343,'NonXtal_SegEnds_Prot#'!A:AL,10,FALSE)+9,1)</f>
        <v>A</v>
      </c>
      <c r="W343" s="64" t="str">
        <f>MID(VLOOKUP($A343,Seqs!$A:$B,2,FALSE),VLOOKUP($A343,'NonXtal_SegEnds_Prot#'!$A:$AL,22,FALSE)+6,1)</f>
        <v>V</v>
      </c>
      <c r="X343" s="90" t="str">
        <f>MID(VLOOKUP($A343,Seqs!$A:$B,2,FALSE),VLOOKUP($A343,'NonXtal_SegEnds_Prot#'!$A:$AL,22,FALSE)+7,1)</f>
        <v>V</v>
      </c>
      <c r="Y343" s="90" t="str">
        <f>MID(VLOOKUP($A343,Seqs!$A:$B,2,FALSE),VLOOKUP($A343,'NonXtal_SegEnds_Prot#'!$A:$AL,22,FALSE)+8,1)</f>
        <v>I</v>
      </c>
      <c r="Z343" s="90" t="str">
        <f>MID(VLOOKUP($A343,Seqs!$A:$B,2,FALSE),VLOOKUP($A343,'NonXtal_SegEnds_Prot#'!$A:$AL,22,FALSE)+9,1)</f>
        <v>L</v>
      </c>
      <c r="AA343" s="90" t="str">
        <f>MID(VLOOKUP($A343,Seqs!$A:$B,2,FALSE),VLOOKUP($A343,'NonXtal_SegEnds_Prot#'!$A:$AL,22,FALSE)+10,1)</f>
        <v>L</v>
      </c>
      <c r="AB343" s="64" t="str">
        <f>MID(VLOOKUP($A343,Seqs!$A:$B,2,FALSE),VLOOKUP($A343,'NonXtal_SegEnds_Prot#'!$A:$AL,28,FALSE)-4,1)</f>
        <v>P</v>
      </c>
      <c r="AC343" s="90" t="str">
        <f>MID(VLOOKUP($A343,Seqs!$A:$B,2,FALSE),VLOOKUP($A343,'NonXtal_SegEnds_Prot#'!$A:$AL,28,FALSE),1)</f>
        <v>L</v>
      </c>
    </row>
    <row r="344" spans="1:29" s="2" customFormat="1" x14ac:dyDescent="0.2">
      <c r="A344" s="2" t="s">
        <v>302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1555</v>
      </c>
      <c r="R344" s="64" t="str">
        <f>MID(VLOOKUP($A344,Seqs!$A:$B,2,FALSE),VLOOKUP($A344,'NonXtal_SegEnds_Prot#'!A:AL,10,FALSE),1)</f>
        <v>S</v>
      </c>
      <c r="S344" s="90" t="str">
        <f>MID(VLOOKUP($A344,Seqs!$A:$B,2,FALSE),VLOOKUP($A344,'NonXtal_SegEnds_Prot#'!A:AL,10,FALSE)+6,1)</f>
        <v>P</v>
      </c>
      <c r="T344" s="90" t="str">
        <f>MID(VLOOKUP($A344,Seqs!$A:$B,2,FALSE),VLOOKUP($A344,'NonXtal_SegEnds_Prot#'!A:AL,10,FALSE)+7,1)</f>
        <v>V</v>
      </c>
      <c r="U344" s="90" t="str">
        <f>MID(VLOOKUP($A344,Seqs!$A:$B,2,FALSE),VLOOKUP($A344,'NonXtal_SegEnds_Prot#'!A:AL,10,FALSE)+8,1)</f>
        <v>V</v>
      </c>
      <c r="V344" s="90" t="str">
        <f>MID(VLOOKUP($A344,Seqs!$A:$B,2,FALSE),VLOOKUP($A344,'NonXtal_SegEnds_Prot#'!A:AL,10,FALSE)+9,1)</f>
        <v>I</v>
      </c>
      <c r="W344" s="64" t="str">
        <f>MID(VLOOKUP($A344,Seqs!$A:$B,2,FALSE),VLOOKUP($A344,'NonXtal_SegEnds_Prot#'!$A:$AL,22,FALSE)+6,1)</f>
        <v>L</v>
      </c>
      <c r="X344" s="90" t="str">
        <f>MID(VLOOKUP($A344,Seqs!$A:$B,2,FALSE),VLOOKUP($A344,'NonXtal_SegEnds_Prot#'!$A:$AL,22,FALSE)+7,1)</f>
        <v>A</v>
      </c>
      <c r="Y344" s="90" t="str">
        <f>MID(VLOOKUP($A344,Seqs!$A:$B,2,FALSE),VLOOKUP($A344,'NonXtal_SegEnds_Prot#'!$A:$AL,22,FALSE)+8,1)</f>
        <v>V</v>
      </c>
      <c r="Z344" s="90" t="str">
        <f>MID(VLOOKUP($A344,Seqs!$A:$B,2,FALSE),VLOOKUP($A344,'NonXtal_SegEnds_Prot#'!$A:$AL,22,FALSE)+9,1)</f>
        <v>I</v>
      </c>
      <c r="AA344" s="90" t="str">
        <f>MID(VLOOKUP($A344,Seqs!$A:$B,2,FALSE),VLOOKUP($A344,'NonXtal_SegEnds_Prot#'!$A:$AL,22,FALSE)+10,1)</f>
        <v>L</v>
      </c>
      <c r="AB344" s="64" t="str">
        <f>MID(VLOOKUP($A344,Seqs!$A:$B,2,FALSE),VLOOKUP($A344,'NonXtal_SegEnds_Prot#'!$A:$AL,28,FALSE)-4,1)</f>
        <v>A</v>
      </c>
      <c r="AC344" s="90" t="str">
        <f>MID(VLOOKUP($A344,Seqs!$A:$B,2,FALSE),VLOOKUP($A344,'NonXtal_SegEnds_Prot#'!$A:$AL,28,FALSE),1)</f>
        <v>F</v>
      </c>
    </row>
    <row r="345" spans="1:29" s="2" customFormat="1" x14ac:dyDescent="0.2">
      <c r="A345" s="2" t="s">
        <v>304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1555</v>
      </c>
      <c r="R345" s="64" t="str">
        <f>MID(VLOOKUP($A345,Seqs!$A:$B,2,FALSE),VLOOKUP($A345,'NonXtal_SegEnds_Prot#'!A:AL,10,FALSE),1)</f>
        <v>T</v>
      </c>
      <c r="S345" s="90" t="str">
        <f>MID(VLOOKUP($A345,Seqs!$A:$B,2,FALSE),VLOOKUP($A345,'NonXtal_SegEnds_Prot#'!A:AL,10,FALSE)+6,1)</f>
        <v>L</v>
      </c>
      <c r="T345" s="90" t="str">
        <f>MID(VLOOKUP($A345,Seqs!$A:$B,2,FALSE),VLOOKUP($A345,'NonXtal_SegEnds_Prot#'!A:AL,10,FALSE)+7,1)</f>
        <v>T</v>
      </c>
      <c r="U345" s="90" t="str">
        <f>MID(VLOOKUP($A345,Seqs!$A:$B,2,FALSE),VLOOKUP($A345,'NonXtal_SegEnds_Prot#'!A:AL,10,FALSE)+8,1)</f>
        <v>F</v>
      </c>
      <c r="V345" s="90" t="str">
        <f>MID(VLOOKUP($A345,Seqs!$A:$B,2,FALSE),VLOOKUP($A345,'NonXtal_SegEnds_Prot#'!A:AL,10,FALSE)+9,1)</f>
        <v>A</v>
      </c>
      <c r="W345" s="64" t="str">
        <f>MID(VLOOKUP($A345,Seqs!$A:$B,2,FALSE),VLOOKUP($A345,'NonXtal_SegEnds_Prot#'!$A:$AL,22,FALSE)+6,1)</f>
        <v>I</v>
      </c>
      <c r="X345" s="90" t="str">
        <f>MID(VLOOKUP($A345,Seqs!$A:$B,2,FALSE),VLOOKUP($A345,'NonXtal_SegEnds_Prot#'!$A:$AL,22,FALSE)+7,1)</f>
        <v>A</v>
      </c>
      <c r="Y345" s="90" t="str">
        <f>MID(VLOOKUP($A345,Seqs!$A:$B,2,FALSE),VLOOKUP($A345,'NonXtal_SegEnds_Prot#'!$A:$AL,22,FALSE)+8,1)</f>
        <v>V</v>
      </c>
      <c r="Z345" s="90" t="str">
        <f>MID(VLOOKUP($A345,Seqs!$A:$B,2,FALSE),VLOOKUP($A345,'NonXtal_SegEnds_Prot#'!$A:$AL,22,FALSE)+9,1)</f>
        <v>E</v>
      </c>
      <c r="AA345" s="90" t="str">
        <f>MID(VLOOKUP($A345,Seqs!$A:$B,2,FALSE),VLOOKUP($A345,'NonXtal_SegEnds_Prot#'!$A:$AL,22,FALSE)+10,1)</f>
        <v>W</v>
      </c>
      <c r="AB345" s="64" t="str">
        <f>MID(VLOOKUP($A345,Seqs!$A:$B,2,FALSE),VLOOKUP($A345,'NonXtal_SegEnds_Prot#'!$A:$AL,28,FALSE)-4,1)</f>
        <v>Y</v>
      </c>
      <c r="AC345" s="90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306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1555</v>
      </c>
      <c r="R346" s="64" t="str">
        <f>MID(VLOOKUP($A346,Seqs!$A:$B,2,FALSE),VLOOKUP($A346,'NonXtal_SegEnds_Prot#'!A:AL,10,FALSE),1)</f>
        <v>V</v>
      </c>
      <c r="S346" s="90" t="str">
        <f>MID(VLOOKUP($A346,Seqs!$A:$B,2,FALSE),VLOOKUP($A346,'NonXtal_SegEnds_Prot#'!A:AL,10,FALSE)+6,1)</f>
        <v>L</v>
      </c>
      <c r="T346" s="90" t="str">
        <f>MID(VLOOKUP($A346,Seqs!$A:$B,2,FALSE),VLOOKUP($A346,'NonXtal_SegEnds_Prot#'!A:AL,10,FALSE)+7,1)</f>
        <v>A</v>
      </c>
      <c r="U346" s="90" t="str">
        <f>MID(VLOOKUP($A346,Seqs!$A:$B,2,FALSE),VLOOKUP($A346,'NonXtal_SegEnds_Prot#'!A:AL,10,FALSE)+8,1)</f>
        <v>F</v>
      </c>
      <c r="V346" s="90" t="str">
        <f>MID(VLOOKUP($A346,Seqs!$A:$B,2,FALSE),VLOOKUP($A346,'NonXtal_SegEnds_Prot#'!A:AL,10,FALSE)+9,1)</f>
        <v>A</v>
      </c>
      <c r="W346" s="64" t="str">
        <f>MID(VLOOKUP($A346,Seqs!$A:$B,2,FALSE),VLOOKUP($A346,'NonXtal_SegEnds_Prot#'!$A:$AL,22,FALSE)+6,1)</f>
        <v>I</v>
      </c>
      <c r="X346" s="90" t="str">
        <f>MID(VLOOKUP($A346,Seqs!$A:$B,2,FALSE),VLOOKUP($A346,'NonXtal_SegEnds_Prot#'!$A:$AL,22,FALSE)+7,1)</f>
        <v>A</v>
      </c>
      <c r="Y346" s="90" t="str">
        <f>MID(VLOOKUP($A346,Seqs!$A:$B,2,FALSE),VLOOKUP($A346,'NonXtal_SegEnds_Prot#'!$A:$AL,22,FALSE)+8,1)</f>
        <v>T</v>
      </c>
      <c r="Z346" s="90" t="str">
        <f>MID(VLOOKUP($A346,Seqs!$A:$B,2,FALSE),VLOOKUP($A346,'NonXtal_SegEnds_Prot#'!$A:$AL,22,FALSE)+9,1)</f>
        <v>E</v>
      </c>
      <c r="AA346" s="90" t="str">
        <f>MID(VLOOKUP($A346,Seqs!$A:$B,2,FALSE),VLOOKUP($A346,'NonXtal_SegEnds_Prot#'!$A:$AL,22,FALSE)+10,1)</f>
        <v>Y</v>
      </c>
      <c r="AB346" s="64" t="str">
        <f>MID(VLOOKUP($A346,Seqs!$A:$B,2,FALSE),VLOOKUP($A346,'NonXtal_SegEnds_Prot#'!$A:$AL,28,FALSE)-4,1)</f>
        <v>Y</v>
      </c>
      <c r="AC346" s="90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314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1555</v>
      </c>
      <c r="R347" s="64" t="str">
        <f>MID(VLOOKUP($A347,Seqs!$A:$B,2,FALSE),VLOOKUP($A347,'NonXtal_SegEnds_Prot#'!A:AL,10,FALSE),1)</f>
        <v>V</v>
      </c>
      <c r="S347" s="90" t="str">
        <f>MID(VLOOKUP($A347,Seqs!$A:$B,2,FALSE),VLOOKUP($A347,'NonXtal_SegEnds_Prot#'!A:AL,10,FALSE)+6,1)</f>
        <v>L</v>
      </c>
      <c r="T347" s="90" t="str">
        <f>MID(VLOOKUP($A347,Seqs!$A:$B,2,FALSE),VLOOKUP($A347,'NonXtal_SegEnds_Prot#'!A:AL,10,FALSE)+7,1)</f>
        <v>T</v>
      </c>
      <c r="U347" s="90" t="str">
        <f>MID(VLOOKUP($A347,Seqs!$A:$B,2,FALSE),VLOOKUP($A347,'NonXtal_SegEnds_Prot#'!A:AL,10,FALSE)+8,1)</f>
        <v>F</v>
      </c>
      <c r="V347" s="90" t="str">
        <f>MID(VLOOKUP($A347,Seqs!$A:$B,2,FALSE),VLOOKUP($A347,'NonXtal_SegEnds_Prot#'!A:AL,10,FALSE)+9,1)</f>
        <v>A</v>
      </c>
      <c r="W347" s="64" t="str">
        <f>MID(VLOOKUP($A347,Seqs!$A:$B,2,FALSE),VLOOKUP($A347,'NonXtal_SegEnds_Prot#'!$A:$AL,22,FALSE)+6,1)</f>
        <v>I</v>
      </c>
      <c r="X347" s="90" t="str">
        <f>MID(VLOOKUP($A347,Seqs!$A:$B,2,FALSE),VLOOKUP($A347,'NonXtal_SegEnds_Prot#'!$A:$AL,22,FALSE)+7,1)</f>
        <v>A</v>
      </c>
      <c r="Y347" s="90" t="str">
        <f>MID(VLOOKUP($A347,Seqs!$A:$B,2,FALSE),VLOOKUP($A347,'NonXtal_SegEnds_Prot#'!$A:$AL,22,FALSE)+8,1)</f>
        <v>I</v>
      </c>
      <c r="Z347" s="90" t="str">
        <f>MID(VLOOKUP($A347,Seqs!$A:$B,2,FALSE),VLOOKUP($A347,'NonXtal_SegEnds_Prot#'!$A:$AL,22,FALSE)+9,1)</f>
        <v>E</v>
      </c>
      <c r="AA347" s="90" t="str">
        <f>MID(VLOOKUP($A347,Seqs!$A:$B,2,FALSE),VLOOKUP($A347,'NonXtal_SegEnds_Prot#'!$A:$AL,22,FALSE)+10,1)</f>
        <v>Y</v>
      </c>
      <c r="AB347" s="64" t="str">
        <f>MID(VLOOKUP($A347,Seqs!$A:$B,2,FALSE),VLOOKUP($A347,'NonXtal_SegEnds_Prot#'!$A:$AL,28,FALSE)-4,1)</f>
        <v>Y</v>
      </c>
      <c r="AC347" s="90" t="str">
        <f>MID(VLOOKUP($A347,Seqs!$A:$B,2,FALSE),VLOOKUP($A347,'NonXtal_SegEnds_Prot#'!$A:$AL,28,FALSE),1)</f>
        <v>L</v>
      </c>
    </row>
    <row r="348" spans="1:29" s="2" customFormat="1" x14ac:dyDescent="0.2">
      <c r="A348" s="2" t="s">
        <v>298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1555</v>
      </c>
      <c r="R348" s="64" t="str">
        <f>MID(VLOOKUP($A348,Seqs!$A:$B,2,FALSE),VLOOKUP($A348,'NonXtal_SegEnds_Prot#'!A:AL,10,FALSE),1)</f>
        <v>L</v>
      </c>
      <c r="S348" s="90" t="str">
        <f>MID(VLOOKUP($A348,Seqs!$A:$B,2,FALSE),VLOOKUP($A348,'NonXtal_SegEnds_Prot#'!A:AL,10,FALSE)+6,1)</f>
        <v>S</v>
      </c>
      <c r="T348" s="90" t="str">
        <f>MID(VLOOKUP($A348,Seqs!$A:$B,2,FALSE),VLOOKUP($A348,'NonXtal_SegEnds_Prot#'!A:AL,10,FALSE)+7,1)</f>
        <v>S</v>
      </c>
      <c r="U348" s="90" t="str">
        <f>MID(VLOOKUP($A348,Seqs!$A:$B,2,FALSE),VLOOKUP($A348,'NonXtal_SegEnds_Prot#'!A:AL,10,FALSE)+8,1)</f>
        <v>L</v>
      </c>
      <c r="V348" s="90" t="str">
        <f>MID(VLOOKUP($A348,Seqs!$A:$B,2,FALSE),VLOOKUP($A348,'NonXtal_SegEnds_Prot#'!A:AL,10,FALSE)+9,1)</f>
        <v>F</v>
      </c>
      <c r="W348" s="64" t="str">
        <f>MID(VLOOKUP($A348,Seqs!$A:$B,2,FALSE),VLOOKUP($A348,'NonXtal_SegEnds_Prot#'!$A:$AL,22,FALSE)+6,1)</f>
        <v>I</v>
      </c>
      <c r="X348" s="90" t="str">
        <f>MID(VLOOKUP($A348,Seqs!$A:$B,2,FALSE),VLOOKUP($A348,'NonXtal_SegEnds_Prot#'!$A:$AL,22,FALSE)+7,1)</f>
        <v>C</v>
      </c>
      <c r="Y348" s="90" t="str">
        <f>MID(VLOOKUP($A348,Seqs!$A:$B,2,FALSE),VLOOKUP($A348,'NonXtal_SegEnds_Prot#'!$A:$AL,22,FALSE)+8,1)</f>
        <v>V</v>
      </c>
      <c r="Z348" s="90" t="str">
        <f>MID(VLOOKUP($A348,Seqs!$A:$B,2,FALSE),VLOOKUP($A348,'NonXtal_SegEnds_Prot#'!$A:$AL,22,FALSE)+9,1)</f>
        <v>I</v>
      </c>
      <c r="AA348" s="90" t="str">
        <f>MID(VLOOKUP($A348,Seqs!$A:$B,2,FALSE),VLOOKUP($A348,'NonXtal_SegEnds_Prot#'!$A:$AL,22,FALSE)+10,1)</f>
        <v>W</v>
      </c>
      <c r="AB348" s="64" t="str">
        <f>MID(VLOOKUP($A348,Seqs!$A:$B,2,FALSE),VLOOKUP($A348,'NonXtal_SegEnds_Prot#'!$A:$AL,28,FALSE)-4,1)</f>
        <v>Y</v>
      </c>
      <c r="AC348" s="90" t="str">
        <f>MID(VLOOKUP($A348,Seqs!$A:$B,2,FALSE),VLOOKUP($A348,'NonXtal_SegEnds_Prot#'!$A:$AL,28,FALSE),1)</f>
        <v>L</v>
      </c>
    </row>
    <row r="349" spans="1:29" s="2" customFormat="1" x14ac:dyDescent="0.2">
      <c r="A349" s="2" t="s">
        <v>307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1555</v>
      </c>
      <c r="R349" s="64" t="str">
        <f>MID(VLOOKUP($A349,Seqs!$A:$B,2,FALSE),VLOOKUP($A349,'NonXtal_SegEnds_Prot#'!A:AL,10,FALSE),1)</f>
        <v>H</v>
      </c>
      <c r="S349" s="90" t="str">
        <f>MID(VLOOKUP($A349,Seqs!$A:$B,2,FALSE),VLOOKUP($A349,'NonXtal_SegEnds_Prot#'!A:AL,10,FALSE)+6,1)</f>
        <v>S</v>
      </c>
      <c r="T349" s="90" t="str">
        <f>MID(VLOOKUP($A349,Seqs!$A:$B,2,FALSE),VLOOKUP($A349,'NonXtal_SegEnds_Prot#'!A:AL,10,FALSE)+7,1)</f>
        <v>T</v>
      </c>
      <c r="U349" s="90" t="str">
        <f>MID(VLOOKUP($A349,Seqs!$A:$B,2,FALSE),VLOOKUP($A349,'NonXtal_SegEnds_Prot#'!A:AL,10,FALSE)+8,1)</f>
        <v>S</v>
      </c>
      <c r="V349" s="90" t="str">
        <f>MID(VLOOKUP($A349,Seqs!$A:$B,2,FALSE),VLOOKUP($A349,'NonXtal_SegEnds_Prot#'!A:AL,10,FALSE)+9,1)</f>
        <v>F</v>
      </c>
      <c r="W349" s="64" t="str">
        <f>MID(VLOOKUP($A349,Seqs!$A:$B,2,FALSE),VLOOKUP($A349,'NonXtal_SegEnds_Prot#'!$A:$AL,22,FALSE)+6,1)</f>
        <v>I</v>
      </c>
      <c r="X349" s="90" t="str">
        <f>MID(VLOOKUP($A349,Seqs!$A:$B,2,FALSE),VLOOKUP($A349,'NonXtal_SegEnds_Prot#'!$A:$AL,22,FALSE)+7,1)</f>
        <v>C</v>
      </c>
      <c r="Y349" s="90" t="str">
        <f>MID(VLOOKUP($A349,Seqs!$A:$B,2,FALSE),VLOOKUP($A349,'NonXtal_SegEnds_Prot#'!$A:$AL,22,FALSE)+8,1)</f>
        <v>T</v>
      </c>
      <c r="Z349" s="90" t="str">
        <f>MID(VLOOKUP($A349,Seqs!$A:$B,2,FALSE),VLOOKUP($A349,'NonXtal_SegEnds_Prot#'!$A:$AL,22,FALSE)+9,1)</f>
        <v>L</v>
      </c>
      <c r="AA349" s="90" t="str">
        <f>MID(VLOOKUP($A349,Seqs!$A:$B,2,FALSE),VLOOKUP($A349,'NonXtal_SegEnds_Prot#'!$A:$AL,22,FALSE)+10,1)</f>
        <v>W</v>
      </c>
      <c r="AB349" s="64" t="str">
        <f>MID(VLOOKUP($A349,Seqs!$A:$B,2,FALSE),VLOOKUP($A349,'NonXtal_SegEnds_Prot#'!$A:$AL,28,FALSE)-4,1)</f>
        <v>Y</v>
      </c>
      <c r="AC349" s="90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315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1555</v>
      </c>
      <c r="R350" s="64" t="str">
        <f>MID(VLOOKUP($A350,Seqs!$A:$B,2,FALSE),VLOOKUP($A350,'NonXtal_SegEnds_Prot#'!A:AL,10,FALSE),1)</f>
        <v>L</v>
      </c>
      <c r="S350" s="90" t="str">
        <f>MID(VLOOKUP($A350,Seqs!$A:$B,2,FALSE),VLOOKUP($A350,'NonXtal_SegEnds_Prot#'!A:AL,10,FALSE)+6,1)</f>
        <v>S</v>
      </c>
      <c r="T350" s="90" t="str">
        <f>MID(VLOOKUP($A350,Seqs!$A:$B,2,FALSE),VLOOKUP($A350,'NonXtal_SegEnds_Prot#'!A:AL,10,FALSE)+7,1)</f>
        <v>L</v>
      </c>
      <c r="U350" s="90" t="str">
        <f>MID(VLOOKUP($A350,Seqs!$A:$B,2,FALSE),VLOOKUP($A350,'NonXtal_SegEnds_Prot#'!A:AL,10,FALSE)+8,1)</f>
        <v>Y</v>
      </c>
      <c r="V350" s="90" t="str">
        <f>MID(VLOOKUP($A350,Seqs!$A:$B,2,FALSE),VLOOKUP($A350,'NonXtal_SegEnds_Prot#'!A:AL,10,FALSE)+9,1)</f>
        <v>G</v>
      </c>
      <c r="W350" s="64" t="str">
        <f>MID(VLOOKUP($A350,Seqs!$A:$B,2,FALSE),VLOOKUP($A350,'NonXtal_SegEnds_Prot#'!$A:$AL,22,FALSE)+6,1)</f>
        <v>I</v>
      </c>
      <c r="X350" s="90" t="str">
        <f>MID(VLOOKUP($A350,Seqs!$A:$B,2,FALSE),VLOOKUP($A350,'NonXtal_SegEnds_Prot#'!$A:$AL,22,FALSE)+7,1)</f>
        <v>C</v>
      </c>
      <c r="Y350" s="90" t="str">
        <f>MID(VLOOKUP($A350,Seqs!$A:$B,2,FALSE),VLOOKUP($A350,'NonXtal_SegEnds_Prot#'!$A:$AL,22,FALSE)+8,1)</f>
        <v>L</v>
      </c>
      <c r="Z350" s="90" t="str">
        <f>MID(VLOOKUP($A350,Seqs!$A:$B,2,FALSE),VLOOKUP($A350,'NonXtal_SegEnds_Prot#'!$A:$AL,22,FALSE)+9,1)</f>
        <v>T</v>
      </c>
      <c r="AA350" s="90" t="str">
        <f>MID(VLOOKUP($A350,Seqs!$A:$B,2,FALSE),VLOOKUP($A350,'NonXtal_SegEnds_Prot#'!$A:$AL,22,FALSE)+10,1)</f>
        <v>W</v>
      </c>
      <c r="AB350" s="64" t="str">
        <f>MID(VLOOKUP($A350,Seqs!$A:$B,2,FALSE),VLOOKUP($A350,'NonXtal_SegEnds_Prot#'!$A:$AL,28,FALSE)-4,1)</f>
        <v>Y</v>
      </c>
      <c r="AC350" s="90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317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1555</v>
      </c>
      <c r="R351" s="64" t="str">
        <f>MID(VLOOKUP($A351,Seqs!$A:$B,2,FALSE),VLOOKUP($A351,'NonXtal_SegEnds_Prot#'!A:AL,10,FALSE),1)</f>
        <v>L</v>
      </c>
      <c r="S351" s="90" t="str">
        <f>MID(VLOOKUP($A351,Seqs!$A:$B,2,FALSE),VLOOKUP($A351,'NonXtal_SegEnds_Prot#'!A:AL,10,FALSE)+6,1)</f>
        <v>S</v>
      </c>
      <c r="T351" s="90" t="str">
        <f>MID(VLOOKUP($A351,Seqs!$A:$B,2,FALSE),VLOOKUP($A351,'NonXtal_SegEnds_Prot#'!A:AL,10,FALSE)+7,1)</f>
        <v>V</v>
      </c>
      <c r="U351" s="90" t="str">
        <f>MID(VLOOKUP($A351,Seqs!$A:$B,2,FALSE),VLOOKUP($A351,'NonXtal_SegEnds_Prot#'!A:AL,10,FALSE)+8,1)</f>
        <v>L</v>
      </c>
      <c r="V351" s="90" t="str">
        <f>MID(VLOOKUP($A351,Seqs!$A:$B,2,FALSE),VLOOKUP($A351,'NonXtal_SegEnds_Prot#'!A:AL,10,FALSE)+9,1)</f>
        <v>L</v>
      </c>
      <c r="W351" s="64" t="str">
        <f>MID(VLOOKUP($A351,Seqs!$A:$B,2,FALSE),VLOOKUP($A351,'NonXtal_SegEnds_Prot#'!$A:$AL,22,FALSE)+6,1)</f>
        <v>L</v>
      </c>
      <c r="X351" s="90" t="str">
        <f>MID(VLOOKUP($A351,Seqs!$A:$B,2,FALSE),VLOOKUP($A351,'NonXtal_SegEnds_Prot#'!$A:$AL,22,FALSE)+7,1)</f>
        <v>C</v>
      </c>
      <c r="Y351" s="90" t="str">
        <f>MID(VLOOKUP($A351,Seqs!$A:$B,2,FALSE),VLOOKUP($A351,'NonXtal_SegEnds_Prot#'!$A:$AL,22,FALSE)+8,1)</f>
        <v>T</v>
      </c>
      <c r="Z351" s="90" t="str">
        <f>MID(VLOOKUP($A351,Seqs!$A:$B,2,FALSE),VLOOKUP($A351,'NonXtal_SegEnds_Prot#'!$A:$AL,22,FALSE)+9,1)</f>
        <v>W</v>
      </c>
      <c r="AA351" s="90" t="str">
        <f>MID(VLOOKUP($A351,Seqs!$A:$B,2,FALSE),VLOOKUP($A351,'NonXtal_SegEnds_Prot#'!$A:$AL,22,FALSE)+10,1)</f>
        <v>Y</v>
      </c>
      <c r="AB351" s="64" t="str">
        <f>MID(VLOOKUP($A351,Seqs!$A:$B,2,FALSE),VLOOKUP($A351,'NonXtal_SegEnds_Prot#'!$A:$AL,28,FALSE)-4,1)</f>
        <v>T</v>
      </c>
      <c r="AC351" s="90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303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1555</v>
      </c>
      <c r="R352" s="64" t="str">
        <f>MID(VLOOKUP($A352,Seqs!$A:$B,2,FALSE),VLOOKUP($A352,'NonXtal_SegEnds_Prot#'!A:AL,10,FALSE),1)</f>
        <v>F</v>
      </c>
      <c r="S352" s="90" t="str">
        <f>MID(VLOOKUP($A352,Seqs!$A:$B,2,FALSE),VLOOKUP($A352,'NonXtal_SegEnds_Prot#'!A:AL,10,FALSE)+6,1)</f>
        <v>P</v>
      </c>
      <c r="T352" s="90" t="str">
        <f>MID(VLOOKUP($A352,Seqs!$A:$B,2,FALSE),VLOOKUP($A352,'NonXtal_SegEnds_Prot#'!A:AL,10,FALSE)+7,1)</f>
        <v>V</v>
      </c>
      <c r="U352" s="90" t="str">
        <f>MID(VLOOKUP($A352,Seqs!$A:$B,2,FALSE),VLOOKUP($A352,'NonXtal_SegEnds_Prot#'!A:AL,10,FALSE)+8,1)</f>
        <v>F</v>
      </c>
      <c r="V352" s="90" t="str">
        <f>MID(VLOOKUP($A352,Seqs!$A:$B,2,FALSE),VLOOKUP($A352,'NonXtal_SegEnds_Prot#'!A:AL,10,FALSE)+9,1)</f>
        <v>I</v>
      </c>
      <c r="W352" s="64" t="str">
        <f>MID(VLOOKUP($A352,Seqs!$A:$B,2,FALSE),VLOOKUP($A352,'NonXtal_SegEnds_Prot#'!$A:$AL,22,FALSE)+6,1)</f>
        <v>L</v>
      </c>
      <c r="X352" s="90" t="str">
        <f>MID(VLOOKUP($A352,Seqs!$A:$B,2,FALSE),VLOOKUP($A352,'NonXtal_SegEnds_Prot#'!$A:$AL,22,FALSE)+7,1)</f>
        <v>G</v>
      </c>
      <c r="Y352" s="90" t="str">
        <f>MID(VLOOKUP($A352,Seqs!$A:$B,2,FALSE),VLOOKUP($A352,'NonXtal_SegEnds_Prot#'!$A:$AL,22,FALSE)+8,1)</f>
        <v>L</v>
      </c>
      <c r="Z352" s="90" t="str">
        <f>MID(VLOOKUP($A352,Seqs!$A:$B,2,FALSE),VLOOKUP($A352,'NonXtal_SegEnds_Prot#'!$A:$AL,22,FALSE)+9,1)</f>
        <v>L</v>
      </c>
      <c r="AA352" s="90" t="str">
        <f>MID(VLOOKUP($A352,Seqs!$A:$B,2,FALSE),VLOOKUP($A352,'NonXtal_SegEnds_Prot#'!$A:$AL,22,FALSE)+10,1)</f>
        <v>L</v>
      </c>
      <c r="AB352" s="64" t="str">
        <f>MID(VLOOKUP($A352,Seqs!$A:$B,2,FALSE),VLOOKUP($A352,'NonXtal_SegEnds_Prot#'!$A:$AL,28,FALSE)-4,1)</f>
        <v>A</v>
      </c>
      <c r="AC352" s="90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310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1555</v>
      </c>
      <c r="R353" s="64" t="str">
        <f>MID(VLOOKUP($A353,Seqs!$A:$B,2,FALSE),VLOOKUP($A353,'NonXtal_SegEnds_Prot#'!A:AL,10,FALSE),1)</f>
        <v>I</v>
      </c>
      <c r="S353" s="90" t="str">
        <f>MID(VLOOKUP($A353,Seqs!$A:$B,2,FALSE),VLOOKUP($A353,'NonXtal_SegEnds_Prot#'!A:AL,10,FALSE)+6,1)</f>
        <v>T</v>
      </c>
      <c r="T353" s="90" t="str">
        <f>MID(VLOOKUP($A353,Seqs!$A:$B,2,FALSE),VLOOKUP($A353,'NonXtal_SegEnds_Prot#'!A:AL,10,FALSE)+7,1)</f>
        <v>T</v>
      </c>
      <c r="U353" s="90" t="str">
        <f>MID(VLOOKUP($A353,Seqs!$A:$B,2,FALSE),VLOOKUP($A353,'NonXtal_SegEnds_Prot#'!A:AL,10,FALSE)+8,1)</f>
        <v>F</v>
      </c>
      <c r="V353" s="90" t="str">
        <f>MID(VLOOKUP($A353,Seqs!$A:$B,2,FALSE),VLOOKUP($A353,'NonXtal_SegEnds_Prot#'!A:AL,10,FALSE)+9,1)</f>
        <v>L</v>
      </c>
      <c r="W353" s="64" t="str">
        <f>MID(VLOOKUP($A353,Seqs!$A:$B,2,FALSE),VLOOKUP($A353,'NonXtal_SegEnds_Prot#'!$A:$AL,22,FALSE)+6,1)</f>
        <v>G</v>
      </c>
      <c r="X353" s="90" t="str">
        <f>MID(VLOOKUP($A353,Seqs!$A:$B,2,FALSE),VLOOKUP($A353,'NonXtal_SegEnds_Prot#'!$A:$AL,22,FALSE)+7,1)</f>
        <v>I</v>
      </c>
      <c r="Y353" s="90" t="str">
        <f>MID(VLOOKUP($A353,Seqs!$A:$B,2,FALSE),VLOOKUP($A353,'NonXtal_SegEnds_Prot#'!$A:$AL,22,FALSE)+8,1)</f>
        <v>C</v>
      </c>
      <c r="Z353" s="90" t="str">
        <f>MID(VLOOKUP($A353,Seqs!$A:$B,2,FALSE),VLOOKUP($A353,'NonXtal_SegEnds_Prot#'!$A:$AL,22,FALSE)+9,1)</f>
        <v>V</v>
      </c>
      <c r="AA353" s="90" t="str">
        <f>MID(VLOOKUP($A353,Seqs!$A:$B,2,FALSE),VLOOKUP($A353,'NonXtal_SegEnds_Prot#'!$A:$AL,22,FALSE)+10,1)</f>
        <v>W</v>
      </c>
      <c r="AB353" s="64" t="str">
        <f>MID(VLOOKUP($A353,Seqs!$A:$B,2,FALSE),VLOOKUP($A353,'NonXtal_SegEnds_Prot#'!$A:$AL,28,FALSE)-4,1)</f>
        <v>Y</v>
      </c>
      <c r="AC353" s="90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1555</v>
      </c>
      <c r="R354" s="64" t="str">
        <f>MID(VLOOKUP($A354,Seqs!$A:$B,2,FALSE),VLOOKUP($A354,'NonXtal_SegEnds_Prot#'!A:AL,10,FALSE),1)</f>
        <v>I</v>
      </c>
      <c r="S354" s="90" t="str">
        <f>MID(VLOOKUP($A354,Seqs!$A:$B,2,FALSE),VLOOKUP($A354,'NonXtal_SegEnds_Prot#'!A:AL,10,FALSE)+6,1)</f>
        <v>C</v>
      </c>
      <c r="T354" s="90" t="str">
        <f>MID(VLOOKUP($A354,Seqs!$A:$B,2,FALSE),VLOOKUP($A354,'NonXtal_SegEnds_Prot#'!A:AL,10,FALSE)+7,1)</f>
        <v>T</v>
      </c>
      <c r="U354" s="90" t="str">
        <f>MID(VLOOKUP($A354,Seqs!$A:$B,2,FALSE),VLOOKUP($A354,'NonXtal_SegEnds_Prot#'!A:AL,10,FALSE)+8,1)</f>
        <v>F</v>
      </c>
      <c r="V354" s="90" t="str">
        <f>MID(VLOOKUP($A354,Seqs!$A:$B,2,FALSE),VLOOKUP($A354,'NonXtal_SegEnds_Prot#'!A:AL,10,FALSE)+9,1)</f>
        <v>C</v>
      </c>
      <c r="W354" s="64" t="str">
        <f>MID(VLOOKUP($A354,Seqs!$A:$B,2,FALSE),VLOOKUP($A354,'NonXtal_SegEnds_Prot#'!$A:$AL,22,FALSE)+6,1)</f>
        <v>I</v>
      </c>
      <c r="X354" s="90" t="str">
        <f>MID(VLOOKUP($A354,Seqs!$A:$B,2,FALSE),VLOOKUP($A354,'NonXtal_SegEnds_Prot#'!$A:$AL,22,FALSE)+7,1)</f>
        <v>I</v>
      </c>
      <c r="Y354" s="90" t="str">
        <f>MID(VLOOKUP($A354,Seqs!$A:$B,2,FALSE),VLOOKUP($A354,'NonXtal_SegEnds_Prot#'!$A:$AL,22,FALSE)+8,1)</f>
        <v>V</v>
      </c>
      <c r="Z354" s="90" t="str">
        <f>MID(VLOOKUP($A354,Seqs!$A:$B,2,FALSE),VLOOKUP($A354,'NonXtal_SegEnds_Prot#'!$A:$AL,22,FALSE)+9,1)</f>
        <v>A</v>
      </c>
      <c r="AA354" s="90" t="str">
        <f>MID(VLOOKUP($A354,Seqs!$A:$B,2,FALSE),VLOOKUP($A354,'NonXtal_SegEnds_Prot#'!$A:$AL,22,FALSE)+10,1)</f>
        <v>L</v>
      </c>
      <c r="AB354" s="64" t="str">
        <f>MID(VLOOKUP($A354,Seqs!$A:$B,2,FALSE),VLOOKUP($A354,'NonXtal_SegEnds_Prot#'!$A:$AL,28,FALSE)-4,1)</f>
        <v>Y</v>
      </c>
      <c r="AC354" s="90" t="str">
        <f>MID(VLOOKUP($A354,Seqs!$A:$B,2,FALSE),VLOOKUP($A354,'NonXtal_SegEnds_Prot#'!$A:$AL,28,FALSE),1)</f>
        <v>L</v>
      </c>
    </row>
    <row r="355" spans="1:29" s="2" customFormat="1" x14ac:dyDescent="0.2">
      <c r="A355" s="2" t="s">
        <v>299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1555</v>
      </c>
      <c r="R355" s="64" t="str">
        <f>MID(VLOOKUP($A355,Seqs!$A:$B,2,FALSE),VLOOKUP($A355,'NonXtal_SegEnds_Prot#'!A:AL,10,FALSE),1)</f>
        <v>C</v>
      </c>
      <c r="S355" s="90" t="str">
        <f>MID(VLOOKUP($A355,Seqs!$A:$B,2,FALSE),VLOOKUP($A355,'NonXtal_SegEnds_Prot#'!A:AL,10,FALSE)+6,1)</f>
        <v>A</v>
      </c>
      <c r="T355" s="90" t="str">
        <f>MID(VLOOKUP($A355,Seqs!$A:$B,2,FALSE),VLOOKUP($A355,'NonXtal_SegEnds_Prot#'!A:AL,10,FALSE)+7,1)</f>
        <v>V</v>
      </c>
      <c r="U355" s="90" t="str">
        <f>MID(VLOOKUP($A355,Seqs!$A:$B,2,FALSE),VLOOKUP($A355,'NonXtal_SegEnds_Prot#'!A:AL,10,FALSE)+8,1)</f>
        <v>F</v>
      </c>
      <c r="V355" s="90" t="str">
        <f>MID(VLOOKUP($A355,Seqs!$A:$B,2,FALSE),VLOOKUP($A355,'NonXtal_SegEnds_Prot#'!A:AL,10,FALSE)+9,1)</f>
        <v>P</v>
      </c>
      <c r="W355" s="64" t="str">
        <f>MID(VLOOKUP($A355,Seqs!$A:$B,2,FALSE),VLOOKUP($A355,'NonXtal_SegEnds_Prot#'!$A:$AL,22,FALSE)+6,1)</f>
        <v>T</v>
      </c>
      <c r="X355" s="90" t="str">
        <f>MID(VLOOKUP($A355,Seqs!$A:$B,2,FALSE),VLOOKUP($A355,'NonXtal_SegEnds_Prot#'!$A:$AL,22,FALSE)+7,1)</f>
        <v>L</v>
      </c>
      <c r="Y355" s="90" t="str">
        <f>MID(VLOOKUP($A355,Seqs!$A:$B,2,FALSE),VLOOKUP($A355,'NonXtal_SegEnds_Prot#'!$A:$AL,22,FALSE)+8,1)</f>
        <v>A</v>
      </c>
      <c r="Z355" s="90" t="str">
        <f>MID(VLOOKUP($A355,Seqs!$A:$B,2,FALSE),VLOOKUP($A355,'NonXtal_SegEnds_Prot#'!$A:$AL,22,FALSE)+9,1)</f>
        <v>I</v>
      </c>
      <c r="AA355" s="90" t="str">
        <f>MID(VLOOKUP($A355,Seqs!$A:$B,2,FALSE),VLOOKUP($A355,'NonXtal_SegEnds_Prot#'!$A:$AL,22,FALSE)+10,1)</f>
        <v>W</v>
      </c>
      <c r="AB355" s="64" t="str">
        <f>MID(VLOOKUP($A355,Seqs!$A:$B,2,FALSE),VLOOKUP($A355,'NonXtal_SegEnds_Prot#'!$A:$AL,28,FALSE)-4,1)</f>
        <v>Y</v>
      </c>
      <c r="AC355" s="90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300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1555</v>
      </c>
      <c r="R356" s="64" t="str">
        <f>MID(VLOOKUP($A356,Seqs!$A:$B,2,FALSE),VLOOKUP($A356,'NonXtal_SegEnds_Prot#'!A:AL,10,FALSE),1)</f>
        <v>G</v>
      </c>
      <c r="S356" s="90" t="str">
        <f>MID(VLOOKUP($A356,Seqs!$A:$B,2,FALSE),VLOOKUP($A356,'NonXtal_SegEnds_Prot#'!A:AL,10,FALSE)+6,1)</f>
        <v>S</v>
      </c>
      <c r="T356" s="90" t="str">
        <f>MID(VLOOKUP($A356,Seqs!$A:$B,2,FALSE),VLOOKUP($A356,'NonXtal_SegEnds_Prot#'!A:AL,10,FALSE)+7,1)</f>
        <v>I</v>
      </c>
      <c r="U356" s="90" t="str">
        <f>MID(VLOOKUP($A356,Seqs!$A:$B,2,FALSE),VLOOKUP($A356,'NonXtal_SegEnds_Prot#'!A:AL,10,FALSE)+8,1)</f>
        <v>F</v>
      </c>
      <c r="V356" s="90" t="str">
        <f>MID(VLOOKUP($A356,Seqs!$A:$B,2,FALSE),VLOOKUP($A356,'NonXtal_SegEnds_Prot#'!A:AL,10,FALSE)+9,1)</f>
        <v>L</v>
      </c>
      <c r="W356" s="64" t="str">
        <f>MID(VLOOKUP($A356,Seqs!$A:$B,2,FALSE),VLOOKUP($A356,'NonXtal_SegEnds_Prot#'!$A:$AL,22,FALSE)+6,1)</f>
        <v>I</v>
      </c>
      <c r="X356" s="90" t="str">
        <f>MID(VLOOKUP($A356,Seqs!$A:$B,2,FALSE),VLOOKUP($A356,'NonXtal_SegEnds_Prot#'!$A:$AL,22,FALSE)+7,1)</f>
        <v>L</v>
      </c>
      <c r="Y356" s="90" t="str">
        <f>MID(VLOOKUP($A356,Seqs!$A:$B,2,FALSE),VLOOKUP($A356,'NonXtal_SegEnds_Prot#'!$A:$AL,22,FALSE)+8,1)</f>
        <v>I</v>
      </c>
      <c r="Z356" s="90" t="str">
        <f>MID(VLOOKUP($A356,Seqs!$A:$B,2,FALSE),VLOOKUP($A356,'NonXtal_SegEnds_Prot#'!$A:$AL,22,FALSE)+9,1)</f>
        <v>C</v>
      </c>
      <c r="AA356" s="90" t="str">
        <f>MID(VLOOKUP($A356,Seqs!$A:$B,2,FALSE),VLOOKUP($A356,'NonXtal_SegEnds_Prot#'!$A:$AL,22,FALSE)+10,1)</f>
        <v>W</v>
      </c>
      <c r="AB356" s="64" t="str">
        <f>MID(VLOOKUP($A356,Seqs!$A:$B,2,FALSE),VLOOKUP($A356,'NonXtal_SegEnds_Prot#'!$A:$AL,28,FALSE)-4,1)</f>
        <v>Y</v>
      </c>
      <c r="AC356" s="90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301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1555</v>
      </c>
      <c r="R357" s="64" t="str">
        <f>MID(VLOOKUP($A357,Seqs!$A:$B,2,FALSE),VLOOKUP($A357,'NonXtal_SegEnds_Prot#'!A:AL,10,FALSE),1)</f>
        <v>S</v>
      </c>
      <c r="S357" s="90" t="str">
        <f>MID(VLOOKUP($A357,Seqs!$A:$B,2,FALSE),VLOOKUP($A357,'NonXtal_SegEnds_Prot#'!A:AL,10,FALSE)+6,1)</f>
        <v>S</v>
      </c>
      <c r="T357" s="90" t="str">
        <f>MID(VLOOKUP($A357,Seqs!$A:$B,2,FALSE),VLOOKUP($A357,'NonXtal_SegEnds_Prot#'!A:AL,10,FALSE)+7,1)</f>
        <v>A</v>
      </c>
      <c r="U357" s="90" t="str">
        <f>MID(VLOOKUP($A357,Seqs!$A:$B,2,FALSE),VLOOKUP($A357,'NonXtal_SegEnds_Prot#'!A:AL,10,FALSE)+8,1)</f>
        <v>Y</v>
      </c>
      <c r="V357" s="90" t="str">
        <f>MID(VLOOKUP($A357,Seqs!$A:$B,2,FALSE),VLOOKUP($A357,'NonXtal_SegEnds_Prot#'!A:AL,10,FALSE)+9,1)</f>
        <v>L</v>
      </c>
      <c r="W357" s="64" t="str">
        <f>MID(VLOOKUP($A357,Seqs!$A:$B,2,FALSE),VLOOKUP($A357,'NonXtal_SegEnds_Prot#'!$A:$AL,22,FALSE)+6,1)</f>
        <v>L</v>
      </c>
      <c r="X357" s="90" t="str">
        <f>MID(VLOOKUP($A357,Seqs!$A:$B,2,FALSE),VLOOKUP($A357,'NonXtal_SegEnds_Prot#'!$A:$AL,22,FALSE)+7,1)</f>
        <v>L</v>
      </c>
      <c r="Y357" s="90" t="str">
        <f>MID(VLOOKUP($A357,Seqs!$A:$B,2,FALSE),VLOOKUP($A357,'NonXtal_SegEnds_Prot#'!$A:$AL,22,FALSE)+8,1)</f>
        <v>M</v>
      </c>
      <c r="Z357" s="90" t="str">
        <f>MID(VLOOKUP($A357,Seqs!$A:$B,2,FALSE),VLOOKUP($A357,'NonXtal_SegEnds_Prot#'!$A:$AL,22,FALSE)+9,1)</f>
        <v>T</v>
      </c>
      <c r="AA357" s="90" t="str">
        <f>MID(VLOOKUP($A357,Seqs!$A:$B,2,FALSE),VLOOKUP($A357,'NonXtal_SegEnds_Prot#'!$A:$AL,22,FALSE)+10,1)</f>
        <v>W</v>
      </c>
      <c r="AB357" s="64" t="str">
        <f>MID(VLOOKUP($A357,Seqs!$A:$B,2,FALSE),VLOOKUP($A357,'NonXtal_SegEnds_Prot#'!$A:$AL,28,FALSE)-4,1)</f>
        <v>C</v>
      </c>
      <c r="AC357" s="90" t="str">
        <f>MID(VLOOKUP($A357,Seqs!$A:$B,2,FALSE),VLOOKUP($A357,'NonXtal_SegEnds_Prot#'!$A:$AL,28,FALSE),1)</f>
        <v>L</v>
      </c>
    </row>
    <row r="358" spans="1:29" s="2" customFormat="1" x14ac:dyDescent="0.2">
      <c r="A358" s="2" t="s">
        <v>311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1555</v>
      </c>
      <c r="R358" s="64" t="str">
        <f>MID(VLOOKUP($A358,Seqs!$A:$B,2,FALSE),VLOOKUP($A358,'NonXtal_SegEnds_Prot#'!A:AL,10,FALSE),1)</f>
        <v>I</v>
      </c>
      <c r="S358" s="90" t="str">
        <f>MID(VLOOKUP($A358,Seqs!$A:$B,2,FALSE),VLOOKUP($A358,'NonXtal_SegEnds_Prot#'!A:AL,10,FALSE)+6,1)</f>
        <v>I</v>
      </c>
      <c r="T358" s="90" t="str">
        <f>MID(VLOOKUP($A358,Seqs!$A:$B,2,FALSE),VLOOKUP($A358,'NonXtal_SegEnds_Prot#'!A:AL,10,FALSE)+7,1)</f>
        <v>T</v>
      </c>
      <c r="U358" s="90" t="str">
        <f>MID(VLOOKUP($A358,Seqs!$A:$B,2,FALSE),VLOOKUP($A358,'NonXtal_SegEnds_Prot#'!A:AL,10,FALSE)+8,1)</f>
        <v>F</v>
      </c>
      <c r="V358" s="90" t="str">
        <f>MID(VLOOKUP($A358,Seqs!$A:$B,2,FALSE),VLOOKUP($A358,'NonXtal_SegEnds_Prot#'!A:AL,10,FALSE)+9,1)</f>
        <v>L</v>
      </c>
      <c r="W358" s="64" t="str">
        <f>MID(VLOOKUP($A358,Seqs!$A:$B,2,FALSE),VLOOKUP($A358,'NonXtal_SegEnds_Prot#'!$A:$AL,22,FALSE)+6,1)</f>
        <v>G</v>
      </c>
      <c r="X358" s="90" t="str">
        <f>MID(VLOOKUP($A358,Seqs!$A:$B,2,FALSE),VLOOKUP($A358,'NonXtal_SegEnds_Prot#'!$A:$AL,22,FALSE)+7,1)</f>
        <v>M</v>
      </c>
      <c r="Y358" s="90" t="str">
        <f>MID(VLOOKUP($A358,Seqs!$A:$B,2,FALSE),VLOOKUP($A358,'NonXtal_SegEnds_Prot#'!$A:$AL,22,FALSE)+8,1)</f>
        <v>I</v>
      </c>
      <c r="Z358" s="90" t="str">
        <f>MID(VLOOKUP($A358,Seqs!$A:$B,2,FALSE),VLOOKUP($A358,'NonXtal_SegEnds_Prot#'!$A:$AL,22,FALSE)+9,1)</f>
        <v>A</v>
      </c>
      <c r="AA358" s="90" t="str">
        <f>MID(VLOOKUP($A358,Seqs!$A:$B,2,FALSE),VLOOKUP($A358,'NonXtal_SegEnds_Prot#'!$A:$AL,22,FALSE)+10,1)</f>
        <v>W</v>
      </c>
      <c r="AB358" s="64" t="str">
        <f>MID(VLOOKUP($A358,Seqs!$A:$B,2,FALSE),VLOOKUP($A358,'NonXtal_SegEnds_Prot#'!$A:$AL,28,FALSE)-4,1)</f>
        <v>Y</v>
      </c>
      <c r="AC358" s="90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305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1555</v>
      </c>
      <c r="R359" s="64" t="str">
        <f>MID(VLOOKUP($A359,Seqs!$A:$B,2,FALSE),VLOOKUP($A359,'NonXtal_SegEnds_Prot#'!A:AL,10,FALSE),1)</f>
        <v>T</v>
      </c>
      <c r="S359" s="90" t="str">
        <f>MID(VLOOKUP($A359,Seqs!$A:$B,2,FALSE),VLOOKUP($A359,'NonXtal_SegEnds_Prot#'!A:AL,10,FALSE)+6,1)</f>
        <v>L</v>
      </c>
      <c r="T359" s="90" t="str">
        <f>MID(VLOOKUP($A359,Seqs!$A:$B,2,FALSE),VLOOKUP($A359,'NonXtal_SegEnds_Prot#'!A:AL,10,FALSE)+7,1)</f>
        <v>V</v>
      </c>
      <c r="U359" s="90" t="str">
        <f>MID(VLOOKUP($A359,Seqs!$A:$B,2,FALSE),VLOOKUP($A359,'NonXtal_SegEnds_Prot#'!A:AL,10,FALSE)+8,1)</f>
        <v>F</v>
      </c>
      <c r="V359" s="90" t="str">
        <f>MID(VLOOKUP($A359,Seqs!$A:$B,2,FALSE),VLOOKUP($A359,'NonXtal_SegEnds_Prot#'!A:AL,10,FALSE)+9,1)</f>
        <v>A</v>
      </c>
      <c r="W359" s="64" t="str">
        <f>MID(VLOOKUP($A359,Seqs!$A:$B,2,FALSE),VLOOKUP($A359,'NonXtal_SegEnds_Prot#'!$A:$AL,22,FALSE)+6,1)</f>
        <v>I</v>
      </c>
      <c r="X359" s="90" t="str">
        <f>MID(VLOOKUP($A359,Seqs!$A:$B,2,FALSE),VLOOKUP($A359,'NonXtal_SegEnds_Prot#'!$A:$AL,22,FALSE)+7,1)</f>
        <v>N</v>
      </c>
      <c r="Y359" s="90" t="str">
        <f>MID(VLOOKUP($A359,Seqs!$A:$B,2,FALSE),VLOOKUP($A359,'NonXtal_SegEnds_Prot#'!$A:$AL,22,FALSE)+8,1)</f>
        <v>T</v>
      </c>
      <c r="Z359" s="90" t="str">
        <f>MID(VLOOKUP($A359,Seqs!$A:$B,2,FALSE),VLOOKUP($A359,'NonXtal_SegEnds_Prot#'!$A:$AL,22,FALSE)+9,1)</f>
        <v>E</v>
      </c>
      <c r="AA359" s="90" t="str">
        <f>MID(VLOOKUP($A359,Seqs!$A:$B,2,FALSE),VLOOKUP($A359,'NonXtal_SegEnds_Prot#'!$A:$AL,22,FALSE)+10,1)</f>
        <v>W</v>
      </c>
      <c r="AB359" s="64" t="str">
        <f>MID(VLOOKUP($A359,Seqs!$A:$B,2,FALSE),VLOOKUP($A359,'NonXtal_SegEnds_Prot#'!$A:$AL,28,FALSE)-4,1)</f>
        <v>Y</v>
      </c>
      <c r="AC359" s="90" t="str">
        <f>MID(VLOOKUP($A359,Seqs!$A:$B,2,FALSE),VLOOKUP($A359,'NonXtal_SegEnds_Prot#'!$A:$AL,28,FALSE),1)</f>
        <v>L</v>
      </c>
    </row>
    <row r="360" spans="1:29" s="2" customFormat="1" x14ac:dyDescent="0.2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1555</v>
      </c>
      <c r="R360" s="64" t="str">
        <f>MID(VLOOKUP($A360,Seqs!$A:$B,2,FALSE),VLOOKUP($A360,'NonXtal_SegEnds_Prot#'!A:AL,10,FALSE),1)</f>
        <v>I</v>
      </c>
      <c r="S360" s="90" t="str">
        <f>MID(VLOOKUP($A360,Seqs!$A:$B,2,FALSE),VLOOKUP($A360,'NonXtal_SegEnds_Prot#'!A:AL,10,FALSE)+6,1)</f>
        <v>C</v>
      </c>
      <c r="T360" s="90" t="str">
        <f>MID(VLOOKUP($A360,Seqs!$A:$B,2,FALSE),VLOOKUP($A360,'NonXtal_SegEnds_Prot#'!A:AL,10,FALSE)+7,1)</f>
        <v>P</v>
      </c>
      <c r="U360" s="90" t="str">
        <f>MID(VLOOKUP($A360,Seqs!$A:$B,2,FALSE),VLOOKUP($A360,'NonXtal_SegEnds_Prot#'!A:AL,10,FALSE)+8,1)</f>
        <v>F</v>
      </c>
      <c r="V360" s="90" t="str">
        <f>MID(VLOOKUP($A360,Seqs!$A:$B,2,FALSE),VLOOKUP($A360,'NonXtal_SegEnds_Prot#'!A:AL,10,FALSE)+9,1)</f>
        <v>T</v>
      </c>
      <c r="W360" s="64" t="str">
        <f>MID(VLOOKUP($A360,Seqs!$A:$B,2,FALSE),VLOOKUP($A360,'NonXtal_SegEnds_Prot#'!$A:$AL,22,FALSE)+6,1)</f>
        <v>L</v>
      </c>
      <c r="X360" s="90" t="str">
        <f>MID(VLOOKUP($A360,Seqs!$A:$B,2,FALSE),VLOOKUP($A360,'NonXtal_SegEnds_Prot#'!$A:$AL,22,FALSE)+7,1)</f>
        <v>V</v>
      </c>
      <c r="Y360" s="90" t="str">
        <f>MID(VLOOKUP($A360,Seqs!$A:$B,2,FALSE),VLOOKUP($A360,'NonXtal_SegEnds_Prot#'!$A:$AL,22,FALSE)+8,1)</f>
        <v>V</v>
      </c>
      <c r="Z360" s="90" t="str">
        <f>MID(VLOOKUP($A360,Seqs!$A:$B,2,FALSE),VLOOKUP($A360,'NonXtal_SegEnds_Prot#'!$A:$AL,22,FALSE)+9,1)</f>
        <v>T</v>
      </c>
      <c r="AA360" s="90" t="str">
        <f>MID(VLOOKUP($A360,Seqs!$A:$B,2,FALSE),VLOOKUP($A360,'NonXtal_SegEnds_Prot#'!$A:$AL,22,FALSE)+10,1)</f>
        <v>L</v>
      </c>
      <c r="AB360" s="64" t="str">
        <f>MID(VLOOKUP($A360,Seqs!$A:$B,2,FALSE),VLOOKUP($A360,'NonXtal_SegEnds_Prot#'!$A:$AL,28,FALSE)-4,1)</f>
        <v>Y</v>
      </c>
      <c r="AC360" s="90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308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1555</v>
      </c>
      <c r="R361" s="64" t="str">
        <f>MID(VLOOKUP($A361,Seqs!$A:$B,2,FALSE),VLOOKUP($A361,'NonXtal_SegEnds_Prot#'!A:AL,10,FALSE),1)</f>
        <v>V</v>
      </c>
      <c r="S361" s="90" t="str">
        <f>MID(VLOOKUP($A361,Seqs!$A:$B,2,FALSE),VLOOKUP($A361,'NonXtal_SegEnds_Prot#'!A:AL,10,FALSE)+6,1)</f>
        <v>M</v>
      </c>
      <c r="T361" s="90" t="str">
        <f>MID(VLOOKUP($A361,Seqs!$A:$B,2,FALSE),VLOOKUP($A361,'NonXtal_SegEnds_Prot#'!A:AL,10,FALSE)+7,1)</f>
        <v>T</v>
      </c>
      <c r="U361" s="90" t="str">
        <f>MID(VLOOKUP($A361,Seqs!$A:$B,2,FALSE),VLOOKUP($A361,'NonXtal_SegEnds_Prot#'!A:AL,10,FALSE)+8,1)</f>
        <v>F</v>
      </c>
      <c r="V361" s="90" t="str">
        <f>MID(VLOOKUP($A361,Seqs!$A:$B,2,FALSE),VLOOKUP($A361,'NonXtal_SegEnds_Prot#'!A:AL,10,FALSE)+9,1)</f>
        <v>I</v>
      </c>
      <c r="W361" s="64" t="str">
        <f>MID(VLOOKUP($A361,Seqs!$A:$B,2,FALSE),VLOOKUP($A361,'NonXtal_SegEnds_Prot#'!$A:$AL,22,FALSE)+6,1)</f>
        <v>I</v>
      </c>
      <c r="X361" s="90" t="str">
        <f>MID(VLOOKUP($A361,Seqs!$A:$B,2,FALSE),VLOOKUP($A361,'NonXtal_SegEnds_Prot#'!$A:$AL,22,FALSE)+7,1)</f>
        <v>V</v>
      </c>
      <c r="Y361" s="90" t="str">
        <f>MID(VLOOKUP($A361,Seqs!$A:$B,2,FALSE),VLOOKUP($A361,'NonXtal_SegEnds_Prot#'!$A:$AL,22,FALSE)+8,1)</f>
        <v>V</v>
      </c>
      <c r="Z361" s="90" t="str">
        <f>MID(VLOOKUP($A361,Seqs!$A:$B,2,FALSE),VLOOKUP($A361,'NonXtal_SegEnds_Prot#'!$A:$AL,22,FALSE)+9,1)</f>
        <v>A</v>
      </c>
      <c r="AA361" s="90" t="str">
        <f>MID(VLOOKUP($A361,Seqs!$A:$B,2,FALSE),VLOOKUP($A361,'NonXtal_SegEnds_Prot#'!$A:$AL,22,FALSE)+10,1)</f>
        <v>W</v>
      </c>
      <c r="AB361" s="64" t="str">
        <f>MID(VLOOKUP($A361,Seqs!$A:$B,2,FALSE),VLOOKUP($A361,'NonXtal_SegEnds_Prot#'!$A:$AL,28,FALSE)-4,1)</f>
        <v>Y</v>
      </c>
      <c r="AC361" s="90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309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1555</v>
      </c>
      <c r="R362" s="64" t="str">
        <f>MID(VLOOKUP($A362,Seqs!$A:$B,2,FALSE),VLOOKUP($A362,'NonXtal_SegEnds_Prot#'!A:AL,10,FALSE),1)</f>
        <v>V</v>
      </c>
      <c r="S362" s="90" t="str">
        <f>MID(VLOOKUP($A362,Seqs!$A:$B,2,FALSE),VLOOKUP($A362,'NonXtal_SegEnds_Prot#'!A:AL,10,FALSE)+6,1)</f>
        <v>M</v>
      </c>
      <c r="T362" s="90" t="str">
        <f>MID(VLOOKUP($A362,Seqs!$A:$B,2,FALSE),VLOOKUP($A362,'NonXtal_SegEnds_Prot#'!A:AL,10,FALSE)+7,1)</f>
        <v>T</v>
      </c>
      <c r="U362" s="90" t="str">
        <f>MID(VLOOKUP($A362,Seqs!$A:$B,2,FALSE),VLOOKUP($A362,'NonXtal_SegEnds_Prot#'!A:AL,10,FALSE)+8,1)</f>
        <v>F</v>
      </c>
      <c r="V362" s="90" t="str">
        <f>MID(VLOOKUP($A362,Seqs!$A:$B,2,FALSE),VLOOKUP($A362,'NonXtal_SegEnds_Prot#'!A:AL,10,FALSE)+9,1)</f>
        <v>F</v>
      </c>
      <c r="W362" s="64" t="str">
        <f>MID(VLOOKUP($A362,Seqs!$A:$B,2,FALSE),VLOOKUP($A362,'NonXtal_SegEnds_Prot#'!$A:$AL,22,FALSE)+6,1)</f>
        <v>M</v>
      </c>
      <c r="X362" s="90" t="str">
        <f>MID(VLOOKUP($A362,Seqs!$A:$B,2,FALSE),VLOOKUP($A362,'NonXtal_SegEnds_Prot#'!$A:$AL,22,FALSE)+7,1)</f>
        <v>V</v>
      </c>
      <c r="Y362" s="90" t="str">
        <f>MID(VLOOKUP($A362,Seqs!$A:$B,2,FALSE),VLOOKUP($A362,'NonXtal_SegEnds_Prot#'!$A:$AL,22,FALSE)+8,1)</f>
        <v>S</v>
      </c>
      <c r="Z362" s="90" t="str">
        <f>MID(VLOOKUP($A362,Seqs!$A:$B,2,FALSE),VLOOKUP($A362,'NonXtal_SegEnds_Prot#'!$A:$AL,22,FALSE)+9,1)</f>
        <v>V</v>
      </c>
      <c r="AA362" s="90" t="str">
        <f>MID(VLOOKUP($A362,Seqs!$A:$B,2,FALSE),VLOOKUP($A362,'NonXtal_SegEnds_Prot#'!$A:$AL,22,FALSE)+10,1)</f>
        <v>W</v>
      </c>
      <c r="AB362" s="64" t="str">
        <f>MID(VLOOKUP($A362,Seqs!$A:$B,2,FALSE),VLOOKUP($A362,'NonXtal_SegEnds_Prot#'!$A:$AL,28,FALSE)-4,1)</f>
        <v>Y</v>
      </c>
      <c r="AC362" s="90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312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1555</v>
      </c>
      <c r="R363" s="64" t="str">
        <f>MID(VLOOKUP($A363,Seqs!$A:$B,2,FALSE),VLOOKUP($A363,'NonXtal_SegEnds_Prot#'!A:AL,10,FALSE),1)</f>
        <v>I</v>
      </c>
      <c r="S363" s="90" t="str">
        <f>MID(VLOOKUP($A363,Seqs!$A:$B,2,FALSE),VLOOKUP($A363,'NonXtal_SegEnds_Prot#'!A:AL,10,FALSE)+6,1)</f>
        <v>I</v>
      </c>
      <c r="T363" s="90" t="str">
        <f>MID(VLOOKUP($A363,Seqs!$A:$B,2,FALSE),VLOOKUP($A363,'NonXtal_SegEnds_Prot#'!A:AL,10,FALSE)+7,1)</f>
        <v>T</v>
      </c>
      <c r="U363" s="90" t="str">
        <f>MID(VLOOKUP($A363,Seqs!$A:$B,2,FALSE),VLOOKUP($A363,'NonXtal_SegEnds_Prot#'!A:AL,10,FALSE)+8,1)</f>
        <v>F</v>
      </c>
      <c r="V363" s="90" t="str">
        <f>MID(VLOOKUP($A363,Seqs!$A:$B,2,FALSE),VLOOKUP($A363,'NonXtal_SegEnds_Prot#'!A:AL,10,FALSE)+9,1)</f>
        <v>L</v>
      </c>
      <c r="W363" s="64" t="str">
        <f>MID(VLOOKUP($A363,Seqs!$A:$B,2,FALSE),VLOOKUP($A363,'NonXtal_SegEnds_Prot#'!$A:$AL,22,FALSE)+6,1)</f>
        <v>G</v>
      </c>
      <c r="X363" s="90" t="str">
        <f>MID(VLOOKUP($A363,Seqs!$A:$B,2,FALSE),VLOOKUP($A363,'NonXtal_SegEnds_Prot#'!$A:$AL,22,FALSE)+7,1)</f>
        <v>V</v>
      </c>
      <c r="Y363" s="90" t="str">
        <f>MID(VLOOKUP($A363,Seqs!$A:$B,2,FALSE),VLOOKUP($A363,'NonXtal_SegEnds_Prot#'!$A:$AL,22,FALSE)+8,1)</f>
        <v>F</v>
      </c>
      <c r="Z363" s="90" t="str">
        <f>MID(VLOOKUP($A363,Seqs!$A:$B,2,FALSE),VLOOKUP($A363,'NonXtal_SegEnds_Prot#'!$A:$AL,22,FALSE)+9,1)</f>
        <v>I</v>
      </c>
      <c r="AA363" s="90" t="str">
        <f>MID(VLOOKUP($A363,Seqs!$A:$B,2,FALSE),VLOOKUP($A363,'NonXtal_SegEnds_Prot#'!$A:$AL,22,FALSE)+10,1)</f>
        <v>W</v>
      </c>
      <c r="AB363" s="64" t="str">
        <f>MID(VLOOKUP($A363,Seqs!$A:$B,2,FALSE),VLOOKUP($A363,'NonXtal_SegEnds_Prot#'!$A:$AL,28,FALSE)-4,1)</f>
        <v>Y</v>
      </c>
      <c r="AC363" s="90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313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1555</v>
      </c>
      <c r="R364" s="64" t="str">
        <f>MID(VLOOKUP($A364,Seqs!$A:$B,2,FALSE),VLOOKUP($A364,'NonXtal_SegEnds_Prot#'!A:AL,10,FALSE),1)</f>
        <v>I</v>
      </c>
      <c r="S364" s="90" t="str">
        <f>MID(VLOOKUP($A364,Seqs!$A:$B,2,FALSE),VLOOKUP($A364,'NonXtal_SegEnds_Prot#'!A:AL,10,FALSE)+6,1)</f>
        <v>I</v>
      </c>
      <c r="T364" s="90" t="str">
        <f>MID(VLOOKUP($A364,Seqs!$A:$B,2,FALSE),VLOOKUP($A364,'NonXtal_SegEnds_Prot#'!A:AL,10,FALSE)+7,1)</f>
        <v>T</v>
      </c>
      <c r="U364" s="90" t="str">
        <f>MID(VLOOKUP($A364,Seqs!$A:$B,2,FALSE),VLOOKUP($A364,'NonXtal_SegEnds_Prot#'!A:AL,10,FALSE)+8,1)</f>
        <v>F</v>
      </c>
      <c r="V364" s="90" t="str">
        <f>MID(VLOOKUP($A364,Seqs!$A:$B,2,FALSE),VLOOKUP($A364,'NonXtal_SegEnds_Prot#'!A:AL,10,FALSE)+9,1)</f>
        <v>L</v>
      </c>
      <c r="W364" s="64" t="str">
        <f>MID(VLOOKUP($A364,Seqs!$A:$B,2,FALSE),VLOOKUP($A364,'NonXtal_SegEnds_Prot#'!$A:$AL,22,FALSE)+6,1)</f>
        <v>G</v>
      </c>
      <c r="X364" s="90" t="str">
        <f>MID(VLOOKUP($A364,Seqs!$A:$B,2,FALSE),VLOOKUP($A364,'NonXtal_SegEnds_Prot#'!$A:$AL,22,FALSE)+7,1)</f>
        <v>V</v>
      </c>
      <c r="Y364" s="90" t="str">
        <f>MID(VLOOKUP($A364,Seqs!$A:$B,2,FALSE),VLOOKUP($A364,'NonXtal_SegEnds_Prot#'!$A:$AL,22,FALSE)+8,1)</f>
        <v>F</v>
      </c>
      <c r="Z364" s="90" t="str">
        <f>MID(VLOOKUP($A364,Seqs!$A:$B,2,FALSE),VLOOKUP($A364,'NonXtal_SegEnds_Prot#'!$A:$AL,22,FALSE)+9,1)</f>
        <v>V</v>
      </c>
      <c r="AA364" s="90" t="str">
        <f>MID(VLOOKUP($A364,Seqs!$A:$B,2,FALSE),VLOOKUP($A364,'NonXtal_SegEnds_Prot#'!$A:$AL,22,FALSE)+10,1)</f>
        <v>W</v>
      </c>
      <c r="AB364" s="64" t="str">
        <f>MID(VLOOKUP($A364,Seqs!$A:$B,2,FALSE),VLOOKUP($A364,'NonXtal_SegEnds_Prot#'!$A:$AL,28,FALSE)-4,1)</f>
        <v>Y</v>
      </c>
      <c r="AC364" s="90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316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1555</v>
      </c>
      <c r="R365" s="64" t="str">
        <f>MID(VLOOKUP($A365,Seqs!$A:$B,2,FALSE),VLOOKUP($A365,'NonXtal_SegEnds_Prot#'!A:AL,10,FALSE),1)</f>
        <v>L</v>
      </c>
      <c r="S365" s="90" t="str">
        <f>MID(VLOOKUP($A365,Seqs!$A:$B,2,FALSE),VLOOKUP($A365,'NonXtal_SegEnds_Prot#'!A:AL,10,FALSE)+6,1)</f>
        <v>V</v>
      </c>
      <c r="T365" s="90" t="str">
        <f>MID(VLOOKUP($A365,Seqs!$A:$B,2,FALSE),VLOOKUP($A365,'NonXtal_SegEnds_Prot#'!A:AL,10,FALSE)+7,1)</f>
        <v>V</v>
      </c>
      <c r="U365" s="90" t="str">
        <f>MID(VLOOKUP($A365,Seqs!$A:$B,2,FALSE),VLOOKUP($A365,'NonXtal_SegEnds_Prot#'!A:AL,10,FALSE)+8,1)</f>
        <v>P</v>
      </c>
      <c r="V365" s="90" t="str">
        <f>MID(VLOOKUP($A365,Seqs!$A:$B,2,FALSE),VLOOKUP($A365,'NonXtal_SegEnds_Prot#'!A:AL,10,FALSE)+9,1)</f>
        <v>V</v>
      </c>
      <c r="W365" s="64" t="str">
        <f>MID(VLOOKUP($A365,Seqs!$A:$B,2,FALSE),VLOOKUP($A365,'NonXtal_SegEnds_Prot#'!$A:$AL,22,FALSE)+6,1)</f>
        <v>I</v>
      </c>
      <c r="X365" s="90" t="str">
        <f>MID(VLOOKUP($A365,Seqs!$A:$B,2,FALSE),VLOOKUP($A365,'NonXtal_SegEnds_Prot#'!$A:$AL,22,FALSE)+7,1)</f>
        <v>V</v>
      </c>
      <c r="Y365" s="90" t="str">
        <f>MID(VLOOKUP($A365,Seqs!$A:$B,2,FALSE),VLOOKUP($A365,'NonXtal_SegEnds_Prot#'!$A:$AL,22,FALSE)+8,1)</f>
        <v>V</v>
      </c>
      <c r="Z365" s="90" t="str">
        <f>MID(VLOOKUP($A365,Seqs!$A:$B,2,FALSE),VLOOKUP($A365,'NonXtal_SegEnds_Prot#'!$A:$AL,22,FALSE)+9,1)</f>
        <v>I</v>
      </c>
      <c r="AA365" s="90" t="str">
        <f>MID(VLOOKUP($A365,Seqs!$A:$B,2,FALSE),VLOOKUP($A365,'NonXtal_SegEnds_Prot#'!$A:$AL,22,FALSE)+10,1)</f>
        <v>G</v>
      </c>
      <c r="AB365" s="64" t="str">
        <f>MID(VLOOKUP($A365,Seqs!$A:$B,2,FALSE),VLOOKUP($A365,'NonXtal_SegEnds_Prot#'!$A:$AL,28,FALSE)-4,1)</f>
        <v>L</v>
      </c>
      <c r="AC365" s="90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1554</v>
      </c>
      <c r="R366" s="64" t="str">
        <f>MID(VLOOKUP($A366,Seqs!$A:$B,2,FALSE),VLOOKUP($A366,'NonXtal_SegEnds_Prot#'!A:AL,10,FALSE),1)</f>
        <v>A</v>
      </c>
      <c r="S366" s="90" t="str">
        <f>MID(VLOOKUP($A366,Seqs!$A:$B,2,FALSE),VLOOKUP($A366,'NonXtal_SegEnds_Prot#'!A:AL,10,FALSE)+6,1)</f>
        <v>S</v>
      </c>
      <c r="T366" s="90" t="str">
        <f>MID(VLOOKUP($A366,Seqs!$A:$B,2,FALSE),VLOOKUP($A366,'NonXtal_SegEnds_Prot#'!A:AL,10,FALSE)+7,1)</f>
        <v>L</v>
      </c>
      <c r="U366" s="90" t="str">
        <f>MID(VLOOKUP($A366,Seqs!$A:$B,2,FALSE),VLOOKUP($A366,'NonXtal_SegEnds_Prot#'!A:AL,10,FALSE)+8,1)</f>
        <v>G</v>
      </c>
      <c r="V366" s="90" t="str">
        <f>MID(VLOOKUP($A366,Seqs!$A:$B,2,FALSE),VLOOKUP($A366,'NonXtal_SegEnds_Prot#'!A:AL,10,FALSE)+9,1)</f>
        <v>F</v>
      </c>
      <c r="W366" s="64" t="str">
        <f>MID(VLOOKUP($A366,Seqs!$A:$B,2,FALSE),VLOOKUP($A366,'NonXtal_SegEnds_Prot#'!$A:$AL,22,FALSE)+6,1)</f>
        <v>K</v>
      </c>
      <c r="X366" s="90" t="str">
        <f>MID(VLOOKUP($A366,Seqs!$A:$B,2,FALSE),VLOOKUP($A366,'NonXtal_SegEnds_Prot#'!$A:$AL,22,FALSE)+7,1)</f>
        <v>S</v>
      </c>
      <c r="Y366" s="90" t="str">
        <f>MID(VLOOKUP($A366,Seqs!$A:$B,2,FALSE),VLOOKUP($A366,'NonXtal_SegEnds_Prot#'!$A:$AL,22,FALSE)+8,1)</f>
        <v>I</v>
      </c>
      <c r="Z366" s="90" t="str">
        <f>MID(VLOOKUP($A366,Seqs!$A:$B,2,FALSE),VLOOKUP($A366,'NonXtal_SegEnds_Prot#'!$A:$AL,22,FALSE)+9,1)</f>
        <v>T</v>
      </c>
      <c r="AA366" s="90" t="str">
        <f>MID(VLOOKUP($A366,Seqs!$A:$B,2,FALSE),VLOOKUP($A366,'NonXtal_SegEnds_Prot#'!$A:$AL,22,FALSE)+10,1)</f>
        <v>A</v>
      </c>
      <c r="AB366" s="64" t="str">
        <f>MID(VLOOKUP($A366,Seqs!$A:$B,2,FALSE),VLOOKUP($A366,'NonXtal_SegEnds_Prot#'!$A:$AL,28,FALSE)-4,1)</f>
        <v>P</v>
      </c>
      <c r="AC366" s="90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648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1554</v>
      </c>
      <c r="R367" s="64" t="str">
        <f>MID(VLOOKUP($A367,Seqs!$A:$B,2,FALSE),VLOOKUP($A367,'NonXtal_SegEnds_Prot#'!A:AL,10,FALSE),1)</f>
        <v>A</v>
      </c>
      <c r="S367" s="90" t="str">
        <f>MID(VLOOKUP($A367,Seqs!$A:$B,2,FALSE),VLOOKUP($A367,'NonXtal_SegEnds_Prot#'!A:AL,10,FALSE)+6,1)</f>
        <v>S</v>
      </c>
      <c r="T367" s="90" t="str">
        <f>MID(VLOOKUP($A367,Seqs!$A:$B,2,FALSE),VLOOKUP($A367,'NonXtal_SegEnds_Prot#'!A:AL,10,FALSE)+7,1)</f>
        <v>V</v>
      </c>
      <c r="U367" s="90" t="str">
        <f>MID(VLOOKUP($A367,Seqs!$A:$B,2,FALSE),VLOOKUP($A367,'NonXtal_SegEnds_Prot#'!A:AL,10,FALSE)+8,1)</f>
        <v>G</v>
      </c>
      <c r="V367" s="90" t="str">
        <f>MID(VLOOKUP($A367,Seqs!$A:$B,2,FALSE),VLOOKUP($A367,'NonXtal_SegEnds_Prot#'!A:AL,10,FALSE)+9,1)</f>
        <v>Y</v>
      </c>
      <c r="W367" s="64" t="str">
        <f>MID(VLOOKUP($A367,Seqs!$A:$B,2,FALSE),VLOOKUP($A367,'NonXtal_SegEnds_Prot#'!$A:$AL,22,FALSE)+6,1)</f>
        <v>K</v>
      </c>
      <c r="X367" s="90" t="str">
        <f>MID(VLOOKUP($A367,Seqs!$A:$B,2,FALSE),VLOOKUP($A367,'NonXtal_SegEnds_Prot#'!$A:$AL,22,FALSE)+7,1)</f>
        <v>S</v>
      </c>
      <c r="Y367" s="90" t="str">
        <f>MID(VLOOKUP($A367,Seqs!$A:$B,2,FALSE),VLOOKUP($A367,'NonXtal_SegEnds_Prot#'!$A:$AL,22,FALSE)+8,1)</f>
        <v>I</v>
      </c>
      <c r="Z367" s="90" t="str">
        <f>MID(VLOOKUP($A367,Seqs!$A:$B,2,FALSE),VLOOKUP($A367,'NonXtal_SegEnds_Prot#'!$A:$AL,22,FALSE)+9,1)</f>
        <v>A</v>
      </c>
      <c r="AA367" s="90" t="str">
        <f>MID(VLOOKUP($A367,Seqs!$A:$B,2,FALSE),VLOOKUP($A367,'NonXtal_SegEnds_Prot#'!$A:$AL,22,FALSE)+10,1)</f>
        <v>V</v>
      </c>
      <c r="AB367" s="64" t="str">
        <f>MID(VLOOKUP($A367,Seqs!$A:$B,2,FALSE),VLOOKUP($A367,'NonXtal_SegEnds_Prot#'!$A:$AL,28,FALSE)-4,1)</f>
        <v>P</v>
      </c>
      <c r="AC367" s="90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640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1554</v>
      </c>
      <c r="R368" s="64" t="str">
        <f>MID(VLOOKUP($A368,Seqs!$A:$B,2,FALSE),VLOOKUP($A368,'NonXtal_SegEnds_Prot#'!A:AL,10,FALSE),1)</f>
        <v>G</v>
      </c>
      <c r="S368" s="90" t="str">
        <f>MID(VLOOKUP($A368,Seqs!$A:$B,2,FALSE),VLOOKUP($A368,'NonXtal_SegEnds_Prot#'!A:AL,10,FALSE)+6,1)</f>
        <v>A</v>
      </c>
      <c r="T368" s="90" t="str">
        <f>MID(VLOOKUP($A368,Seqs!$A:$B,2,FALSE),VLOOKUP($A368,'NonXtal_SegEnds_Prot#'!A:AL,10,FALSE)+7,1)</f>
        <v>V</v>
      </c>
      <c r="U368" s="90" t="str">
        <f>MID(VLOOKUP($A368,Seqs!$A:$B,2,FALSE),VLOOKUP($A368,'NonXtal_SegEnds_Prot#'!A:AL,10,FALSE)+8,1)</f>
        <v>A</v>
      </c>
      <c r="V368" s="90" t="str">
        <f>MID(VLOOKUP($A368,Seqs!$A:$B,2,FALSE),VLOOKUP($A368,'NonXtal_SegEnds_Prot#'!A:AL,10,FALSE)+9,1)</f>
        <v>Y</v>
      </c>
      <c r="W368" s="64" t="str">
        <f>MID(VLOOKUP($A368,Seqs!$A:$B,2,FALSE),VLOOKUP($A368,'NonXtal_SegEnds_Prot#'!$A:$AL,22,FALSE)+6,1)</f>
        <v>K</v>
      </c>
      <c r="X368" s="90" t="str">
        <f>MID(VLOOKUP($A368,Seqs!$A:$B,2,FALSE),VLOOKUP($A368,'NonXtal_SegEnds_Prot#'!$A:$AL,22,FALSE)+7,1)</f>
        <v>T</v>
      </c>
      <c r="Y368" s="90" t="str">
        <f>MID(VLOOKUP($A368,Seqs!$A:$B,2,FALSE),VLOOKUP($A368,'NonXtal_SegEnds_Prot#'!$A:$AL,22,FALSE)+8,1)</f>
        <v>I</v>
      </c>
      <c r="Z368" s="90" t="str">
        <f>MID(VLOOKUP($A368,Seqs!$A:$B,2,FALSE),VLOOKUP($A368,'NonXtal_SegEnds_Prot#'!$A:$AL,22,FALSE)+9,1)</f>
        <v>T</v>
      </c>
      <c r="AA368" s="90" t="str">
        <f>MID(VLOOKUP($A368,Seqs!$A:$B,2,FALSE),VLOOKUP($A368,'NonXtal_SegEnds_Prot#'!$A:$AL,22,FALSE)+10,1)</f>
        <v>I</v>
      </c>
      <c r="AB368" s="64" t="str">
        <f>MID(VLOOKUP($A368,Seqs!$A:$B,2,FALSE),VLOOKUP($A368,'NonXtal_SegEnds_Prot#'!$A:$AL,28,FALSE)-4,1)</f>
        <v>P</v>
      </c>
      <c r="AC368" s="90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641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1554</v>
      </c>
      <c r="R369" s="64" t="str">
        <f>MID(VLOOKUP($A369,Seqs!$A:$B,2,FALSE),VLOOKUP($A369,'NonXtal_SegEnds_Prot#'!A:AL,10,FALSE),1)</f>
        <v>M</v>
      </c>
      <c r="S369" s="90" t="str">
        <f>MID(VLOOKUP($A369,Seqs!$A:$B,2,FALSE),VLOOKUP($A369,'NonXtal_SegEnds_Prot#'!A:AL,10,FALSE)+6,1)</f>
        <v>S</v>
      </c>
      <c r="T369" s="90" t="str">
        <f>MID(VLOOKUP($A369,Seqs!$A:$B,2,FALSE),VLOOKUP($A369,'NonXtal_SegEnds_Prot#'!A:AL,10,FALSE)+7,1)</f>
        <v>V</v>
      </c>
      <c r="U369" s="90" t="str">
        <f>MID(VLOOKUP($A369,Seqs!$A:$B,2,FALSE),VLOOKUP($A369,'NonXtal_SegEnds_Prot#'!A:AL,10,FALSE)+8,1)</f>
        <v>G</v>
      </c>
      <c r="V369" s="90" t="str">
        <f>MID(VLOOKUP($A369,Seqs!$A:$B,2,FALSE),VLOOKUP($A369,'NonXtal_SegEnds_Prot#'!A:AL,10,FALSE)+9,1)</f>
        <v>Y</v>
      </c>
      <c r="W369" s="64" t="str">
        <f>MID(VLOOKUP($A369,Seqs!$A:$B,2,FALSE),VLOOKUP($A369,'NonXtal_SegEnds_Prot#'!$A:$AL,22,FALSE)+6,1)</f>
        <v>K</v>
      </c>
      <c r="X369" s="90" t="str">
        <f>MID(VLOOKUP($A369,Seqs!$A:$B,2,FALSE),VLOOKUP($A369,'NonXtal_SegEnds_Prot#'!$A:$AL,22,FALSE)+7,1)</f>
        <v>T</v>
      </c>
      <c r="Y369" s="90" t="str">
        <f>MID(VLOOKUP($A369,Seqs!$A:$B,2,FALSE),VLOOKUP($A369,'NonXtal_SegEnds_Prot#'!$A:$AL,22,FALSE)+8,1)</f>
        <v>I</v>
      </c>
      <c r="Z369" s="90" t="str">
        <f>MID(VLOOKUP($A369,Seqs!$A:$B,2,FALSE),VLOOKUP($A369,'NonXtal_SegEnds_Prot#'!$A:$AL,22,FALSE)+9,1)</f>
        <v>L</v>
      </c>
      <c r="AA369" s="90" t="str">
        <f>MID(VLOOKUP($A369,Seqs!$A:$B,2,FALSE),VLOOKUP($A369,'NonXtal_SegEnds_Prot#'!$A:$AL,22,FALSE)+10,1)</f>
        <v>I</v>
      </c>
      <c r="AB369" s="64" t="str">
        <f>MID(VLOOKUP($A369,Seqs!$A:$B,2,FALSE),VLOOKUP($A369,'NonXtal_SegEnds_Prot#'!$A:$AL,28,FALSE)-4,1)</f>
        <v>P</v>
      </c>
      <c r="AC369" s="90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642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1554</v>
      </c>
      <c r="R370" s="64" t="str">
        <f>MID(VLOOKUP($A370,Seqs!$A:$B,2,FALSE),VLOOKUP($A370,'NonXtal_SegEnds_Prot#'!A:AL,10,FALSE),1)</f>
        <v>G</v>
      </c>
      <c r="S370" s="90" t="str">
        <f>MID(VLOOKUP($A370,Seqs!$A:$B,2,FALSE),VLOOKUP($A370,'NonXtal_SegEnds_Prot#'!A:AL,10,FALSE)+6,1)</f>
        <v>S</v>
      </c>
      <c r="T370" s="90" t="str">
        <f>MID(VLOOKUP($A370,Seqs!$A:$B,2,FALSE),VLOOKUP($A370,'NonXtal_SegEnds_Prot#'!A:AL,10,FALSE)+7,1)</f>
        <v>V</v>
      </c>
      <c r="U370" s="90" t="str">
        <f>MID(VLOOKUP($A370,Seqs!$A:$B,2,FALSE),VLOOKUP($A370,'NonXtal_SegEnds_Prot#'!A:AL,10,FALSE)+8,1)</f>
        <v>A</v>
      </c>
      <c r="V370" s="90" t="str">
        <f>MID(VLOOKUP($A370,Seqs!$A:$B,2,FALSE),VLOOKUP($A370,'NonXtal_SegEnds_Prot#'!A:AL,10,FALSE)+9,1)</f>
        <v>Y</v>
      </c>
      <c r="W370" s="64" t="str">
        <f>MID(VLOOKUP($A370,Seqs!$A:$B,2,FALSE),VLOOKUP($A370,'NonXtal_SegEnds_Prot#'!$A:$AL,22,FALSE)+6,1)</f>
        <v>K</v>
      </c>
      <c r="X370" s="90" t="str">
        <f>MID(VLOOKUP($A370,Seqs!$A:$B,2,FALSE),VLOOKUP($A370,'NonXtal_SegEnds_Prot#'!$A:$AL,22,FALSE)+7,1)</f>
        <v>T</v>
      </c>
      <c r="Y370" s="90" t="str">
        <f>MID(VLOOKUP($A370,Seqs!$A:$B,2,FALSE),VLOOKUP($A370,'NonXtal_SegEnds_Prot#'!$A:$AL,22,FALSE)+8,1)</f>
        <v>I</v>
      </c>
      <c r="Z370" s="90" t="str">
        <f>MID(VLOOKUP($A370,Seqs!$A:$B,2,FALSE),VLOOKUP($A370,'NonXtal_SegEnds_Prot#'!$A:$AL,22,FALSE)+9,1)</f>
        <v>T</v>
      </c>
      <c r="AA370" s="90" t="str">
        <f>MID(VLOOKUP($A370,Seqs!$A:$B,2,FALSE),VLOOKUP($A370,'NonXtal_SegEnds_Prot#'!$A:$AL,22,FALSE)+10,1)</f>
        <v>I</v>
      </c>
      <c r="AB370" s="64" t="str">
        <f>MID(VLOOKUP($A370,Seqs!$A:$B,2,FALSE),VLOOKUP($A370,'NonXtal_SegEnds_Prot#'!$A:$AL,28,FALSE)-4,1)</f>
        <v>P</v>
      </c>
      <c r="AC370" s="90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643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1554</v>
      </c>
      <c r="R371" s="64" t="str">
        <f>MID(VLOOKUP($A371,Seqs!$A:$B,2,FALSE),VLOOKUP($A371,'NonXtal_SegEnds_Prot#'!A:AL,10,FALSE),1)</f>
        <v>V</v>
      </c>
      <c r="S371" s="90" t="str">
        <f>MID(VLOOKUP($A371,Seqs!$A:$B,2,FALSE),VLOOKUP($A371,'NonXtal_SegEnds_Prot#'!A:AL,10,FALSE)+6,1)</f>
        <v>S</v>
      </c>
      <c r="T371" s="90" t="str">
        <f>MID(VLOOKUP($A371,Seqs!$A:$B,2,FALSE),VLOOKUP($A371,'NonXtal_SegEnds_Prot#'!A:AL,10,FALSE)+7,1)</f>
        <v>L</v>
      </c>
      <c r="U371" s="90" t="str">
        <f>MID(VLOOKUP($A371,Seqs!$A:$B,2,FALSE),VLOOKUP($A371,'NonXtal_SegEnds_Prot#'!A:AL,10,FALSE)+8,1)</f>
        <v>I</v>
      </c>
      <c r="V371" s="90" t="str">
        <f>MID(VLOOKUP($A371,Seqs!$A:$B,2,FALSE),VLOOKUP($A371,'NonXtal_SegEnds_Prot#'!A:AL,10,FALSE)+9,1)</f>
        <v>F</v>
      </c>
      <c r="W371" s="64" t="str">
        <f>MID(VLOOKUP($A371,Seqs!$A:$B,2,FALSE),VLOOKUP($A371,'NonXtal_SegEnds_Prot#'!$A:$AL,22,FALSE)+6,1)</f>
        <v>L</v>
      </c>
      <c r="X371" s="90" t="str">
        <f>MID(VLOOKUP($A371,Seqs!$A:$B,2,FALSE),VLOOKUP($A371,'NonXtal_SegEnds_Prot#'!$A:$AL,22,FALSE)+7,1)</f>
        <v>T</v>
      </c>
      <c r="Y371" s="90" t="str">
        <f>MID(VLOOKUP($A371,Seqs!$A:$B,2,FALSE),VLOOKUP($A371,'NonXtal_SegEnds_Prot#'!$A:$AL,22,FALSE)+8,1)</f>
        <v>I</v>
      </c>
      <c r="Z371" s="90" t="str">
        <f>MID(VLOOKUP($A371,Seqs!$A:$B,2,FALSE),VLOOKUP($A371,'NonXtal_SegEnds_Prot#'!$A:$AL,22,FALSE)+9,1)</f>
        <v>I</v>
      </c>
      <c r="AA371" s="90" t="str">
        <f>MID(VLOOKUP($A371,Seqs!$A:$B,2,FALSE),VLOOKUP($A371,'NonXtal_SegEnds_Prot#'!$A:$AL,22,FALSE)+10,1)</f>
        <v>L</v>
      </c>
      <c r="AB371" s="64" t="str">
        <f>MID(VLOOKUP($A371,Seqs!$A:$B,2,FALSE),VLOOKUP($A371,'NonXtal_SegEnds_Prot#'!$A:$AL,28,FALSE)-4,1)</f>
        <v>P</v>
      </c>
      <c r="AC371" s="90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644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1554</v>
      </c>
      <c r="R372" s="64" t="str">
        <f>MID(VLOOKUP($A372,Seqs!$A:$B,2,FALSE),VLOOKUP($A372,'NonXtal_SegEnds_Prot#'!A:AL,10,FALSE),1)</f>
        <v>M</v>
      </c>
      <c r="S372" s="90" t="str">
        <f>MID(VLOOKUP($A372,Seqs!$A:$B,2,FALSE),VLOOKUP($A372,'NonXtal_SegEnds_Prot#'!A:AL,10,FALSE)+6,1)</f>
        <v>S</v>
      </c>
      <c r="T372" s="90" t="str">
        <f>MID(VLOOKUP($A372,Seqs!$A:$B,2,FALSE),VLOOKUP($A372,'NonXtal_SegEnds_Prot#'!A:AL,10,FALSE)+7,1)</f>
        <v>I</v>
      </c>
      <c r="U372" s="90" t="str">
        <f>MID(VLOOKUP($A372,Seqs!$A:$B,2,FALSE),VLOOKUP($A372,'NonXtal_SegEnds_Prot#'!A:AL,10,FALSE)+8,1)</f>
        <v>A</v>
      </c>
      <c r="V372" s="90" t="str">
        <f>MID(VLOOKUP($A372,Seqs!$A:$B,2,FALSE),VLOOKUP($A372,'NonXtal_SegEnds_Prot#'!A:AL,10,FALSE)+9,1)</f>
        <v>Y</v>
      </c>
      <c r="W372" s="64" t="str">
        <f>MID(VLOOKUP($A372,Seqs!$A:$B,2,FALSE),VLOOKUP($A372,'NonXtal_SegEnds_Prot#'!$A:$AL,22,FALSE)+6,1)</f>
        <v>K</v>
      </c>
      <c r="X372" s="90" t="str">
        <f>MID(VLOOKUP($A372,Seqs!$A:$B,2,FALSE),VLOOKUP($A372,'NonXtal_SegEnds_Prot#'!$A:$AL,22,FALSE)+7,1)</f>
        <v>T</v>
      </c>
      <c r="Y372" s="90" t="str">
        <f>MID(VLOOKUP($A372,Seqs!$A:$B,2,FALSE),VLOOKUP($A372,'NonXtal_SegEnds_Prot#'!$A:$AL,22,FALSE)+8,1)</f>
        <v>I</v>
      </c>
      <c r="Z372" s="90" t="str">
        <f>MID(VLOOKUP($A372,Seqs!$A:$B,2,FALSE),VLOOKUP($A372,'NonXtal_SegEnds_Prot#'!$A:$AL,22,FALSE)+9,1)</f>
        <v>V</v>
      </c>
      <c r="AA372" s="90" t="str">
        <f>MID(VLOOKUP($A372,Seqs!$A:$B,2,FALSE),VLOOKUP($A372,'NonXtal_SegEnds_Prot#'!$A:$AL,22,FALSE)+10,1)</f>
        <v>I</v>
      </c>
      <c r="AB372" s="64" t="str">
        <f>MID(VLOOKUP($A372,Seqs!$A:$B,2,FALSE),VLOOKUP($A372,'NonXtal_SegEnds_Prot#'!$A:$AL,28,FALSE)-4,1)</f>
        <v>P</v>
      </c>
      <c r="AC372" s="90" t="str">
        <f>MID(VLOOKUP($A372,Seqs!$A:$B,2,FALSE),VLOOKUP($A372,'NonXtal_SegEnds_Prot#'!$A:$AL,28,FALSE),1)</f>
        <v>Y</v>
      </c>
    </row>
    <row r="373" spans="1:29" s="2" customFormat="1" x14ac:dyDescent="0.2">
      <c r="A373" s="2" t="s">
        <v>646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1554</v>
      </c>
      <c r="R373" s="64" t="str">
        <f>MID(VLOOKUP($A373,Seqs!$A:$B,2,FALSE),VLOOKUP($A373,'NonXtal_SegEnds_Prot#'!A:AL,10,FALSE),1)</f>
        <v>V</v>
      </c>
      <c r="S373" s="90" t="str">
        <f>MID(VLOOKUP($A373,Seqs!$A:$B,2,FALSE),VLOOKUP($A373,'NonXtal_SegEnds_Prot#'!A:AL,10,FALSE)+6,1)</f>
        <v>S</v>
      </c>
      <c r="T373" s="90" t="str">
        <f>MID(VLOOKUP($A373,Seqs!$A:$B,2,FALSE),VLOOKUP($A373,'NonXtal_SegEnds_Prot#'!A:AL,10,FALSE)+7,1)</f>
        <v>L</v>
      </c>
      <c r="U373" s="90" t="str">
        <f>MID(VLOOKUP($A373,Seqs!$A:$B,2,FALSE),VLOOKUP($A373,'NonXtal_SegEnds_Prot#'!A:AL,10,FALSE)+8,1)</f>
        <v>M</v>
      </c>
      <c r="V373" s="90" t="str">
        <f>MID(VLOOKUP($A373,Seqs!$A:$B,2,FALSE),VLOOKUP($A373,'NonXtal_SegEnds_Prot#'!A:AL,10,FALSE)+9,1)</f>
        <v>Y</v>
      </c>
      <c r="W373" s="64" t="str">
        <f>MID(VLOOKUP($A373,Seqs!$A:$B,2,FALSE),VLOOKUP($A373,'NonXtal_SegEnds_Prot#'!$A:$AL,22,FALSE)+6,1)</f>
        <v>L</v>
      </c>
      <c r="X373" s="90" t="str">
        <f>MID(VLOOKUP($A373,Seqs!$A:$B,2,FALSE),VLOOKUP($A373,'NonXtal_SegEnds_Prot#'!$A:$AL,22,FALSE)+7,1)</f>
        <v>T</v>
      </c>
      <c r="Y373" s="90" t="str">
        <f>MID(VLOOKUP($A373,Seqs!$A:$B,2,FALSE),VLOOKUP($A373,'NonXtal_SegEnds_Prot#'!$A:$AL,22,FALSE)+8,1)</f>
        <v>V</v>
      </c>
      <c r="Z373" s="90" t="str">
        <f>MID(VLOOKUP($A373,Seqs!$A:$B,2,FALSE),VLOOKUP($A373,'NonXtal_SegEnds_Prot#'!$A:$AL,22,FALSE)+9,1)</f>
        <v>M</v>
      </c>
      <c r="AA373" s="90" t="str">
        <f>MID(VLOOKUP($A373,Seqs!$A:$B,2,FALSE),VLOOKUP($A373,'NonXtal_SegEnds_Prot#'!$A:$AL,22,FALSE)+10,1)</f>
        <v>L</v>
      </c>
      <c r="AB373" s="64" t="str">
        <f>MID(VLOOKUP($A373,Seqs!$A:$B,2,FALSE),VLOOKUP($A373,'NonXtal_SegEnds_Prot#'!$A:$AL,28,FALSE)-4,1)</f>
        <v>P</v>
      </c>
      <c r="AC373" s="90" t="str">
        <f>MID(VLOOKUP($A373,Seqs!$A:$B,2,FALSE),VLOOKUP($A373,'NonXtal_SegEnds_Prot#'!$A:$AL,28,FALSE),1)</f>
        <v>C</v>
      </c>
    </row>
    <row r="374" spans="1:29" s="2" customFormat="1" x14ac:dyDescent="0.2">
      <c r="A374" s="2" t="s">
        <v>647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1554</v>
      </c>
      <c r="R374" s="64" t="str">
        <f>MID(VLOOKUP($A374,Seqs!$A:$B,2,FALSE),VLOOKUP($A374,'NonXtal_SegEnds_Prot#'!A:AL,10,FALSE),1)</f>
        <v>G</v>
      </c>
      <c r="S374" s="90" t="str">
        <f>MID(VLOOKUP($A374,Seqs!$A:$B,2,FALSE),VLOOKUP($A374,'NonXtal_SegEnds_Prot#'!A:AL,10,FALSE)+6,1)</f>
        <v>A</v>
      </c>
      <c r="T374" s="90" t="str">
        <f>MID(VLOOKUP($A374,Seqs!$A:$B,2,FALSE),VLOOKUP($A374,'NonXtal_SegEnds_Prot#'!A:AL,10,FALSE)+7,1)</f>
        <v>V</v>
      </c>
      <c r="U374" s="90" t="str">
        <f>MID(VLOOKUP($A374,Seqs!$A:$B,2,FALSE),VLOOKUP($A374,'NonXtal_SegEnds_Prot#'!A:AL,10,FALSE)+8,1)</f>
        <v>A</v>
      </c>
      <c r="V374" s="90" t="str">
        <f>MID(VLOOKUP($A374,Seqs!$A:$B,2,FALSE),VLOOKUP($A374,'NonXtal_SegEnds_Prot#'!A:AL,10,FALSE)+9,1)</f>
        <v>H</v>
      </c>
      <c r="W374" s="64" t="str">
        <f>MID(VLOOKUP($A374,Seqs!$A:$B,2,FALSE),VLOOKUP($A374,'NonXtal_SegEnds_Prot#'!$A:$AL,22,FALSE)+6,1)</f>
        <v>K</v>
      </c>
      <c r="X374" s="90" t="str">
        <f>MID(VLOOKUP($A374,Seqs!$A:$B,2,FALSE),VLOOKUP($A374,'NonXtal_SegEnds_Prot#'!$A:$AL,22,FALSE)+7,1)</f>
        <v>T</v>
      </c>
      <c r="Y374" s="90" t="str">
        <f>MID(VLOOKUP($A374,Seqs!$A:$B,2,FALSE),VLOOKUP($A374,'NonXtal_SegEnds_Prot#'!$A:$AL,22,FALSE)+8,1)</f>
        <v>I</v>
      </c>
      <c r="Z374" s="90" t="str">
        <f>MID(VLOOKUP($A374,Seqs!$A:$B,2,FALSE),VLOOKUP($A374,'NonXtal_SegEnds_Prot#'!$A:$AL,22,FALSE)+9,1)</f>
        <v>T</v>
      </c>
      <c r="AA374" s="90" t="str">
        <f>MID(VLOOKUP($A374,Seqs!$A:$B,2,FALSE),VLOOKUP($A374,'NonXtal_SegEnds_Prot#'!$A:$AL,22,FALSE)+10,1)</f>
        <v>I</v>
      </c>
      <c r="AB374" s="64" t="str">
        <f>MID(VLOOKUP($A374,Seqs!$A:$B,2,FALSE),VLOOKUP($A374,'NonXtal_SegEnds_Prot#'!$A:$AL,28,FALSE)-4,1)</f>
        <v>P</v>
      </c>
      <c r="AC374" s="90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1554</v>
      </c>
      <c r="R375" s="64" t="str">
        <f>MID(VLOOKUP($A375,Seqs!$A:$B,2,FALSE),VLOOKUP($A375,'NonXtal_SegEnds_Prot#'!A:AL,10,FALSE),1)</f>
        <v>M</v>
      </c>
      <c r="S375" s="90" t="str">
        <f>MID(VLOOKUP($A375,Seqs!$A:$B,2,FALSE),VLOOKUP($A375,'NonXtal_SegEnds_Prot#'!A:AL,10,FALSE)+6,1)</f>
        <v>S</v>
      </c>
      <c r="T375" s="90" t="str">
        <f>MID(VLOOKUP($A375,Seqs!$A:$B,2,FALSE),VLOOKUP($A375,'NonXtal_SegEnds_Prot#'!A:AL,10,FALSE)+7,1)</f>
        <v>L</v>
      </c>
      <c r="U375" s="90" t="str">
        <f>MID(VLOOKUP($A375,Seqs!$A:$B,2,FALSE),VLOOKUP($A375,'NonXtal_SegEnds_Prot#'!A:AL,10,FALSE)+8,1)</f>
        <v>A</v>
      </c>
      <c r="V375" s="90" t="str">
        <f>MID(VLOOKUP($A375,Seqs!$A:$B,2,FALSE),VLOOKUP($A375,'NonXtal_SegEnds_Prot#'!A:AL,10,FALSE)+9,1)</f>
        <v>F</v>
      </c>
      <c r="W375" s="64" t="str">
        <f>MID(VLOOKUP($A375,Seqs!$A:$B,2,FALSE),VLOOKUP($A375,'NonXtal_SegEnds_Prot#'!$A:$AL,22,FALSE)+6,1)</f>
        <v>K</v>
      </c>
      <c r="X375" s="90" t="str">
        <f>MID(VLOOKUP($A375,Seqs!$A:$B,2,FALSE),VLOOKUP($A375,'NonXtal_SegEnds_Prot#'!$A:$AL,22,FALSE)+7,1)</f>
        <v>T</v>
      </c>
      <c r="Y375" s="90" t="str">
        <f>MID(VLOOKUP($A375,Seqs!$A:$B,2,FALSE),VLOOKUP($A375,'NonXtal_SegEnds_Prot#'!$A:$AL,22,FALSE)+8,1)</f>
        <v>I</v>
      </c>
      <c r="Z375" s="90" t="str">
        <f>MID(VLOOKUP($A375,Seqs!$A:$B,2,FALSE),VLOOKUP($A375,'NonXtal_SegEnds_Prot#'!$A:$AL,22,FALSE)+9,1)</f>
        <v>V</v>
      </c>
      <c r="AA375" s="90" t="str">
        <f>MID(VLOOKUP($A375,Seqs!$A:$B,2,FALSE),VLOOKUP($A375,'NonXtal_SegEnds_Prot#'!$A:$AL,22,FALSE)+10,1)</f>
        <v>I</v>
      </c>
      <c r="AB375" s="64" t="str">
        <f>MID(VLOOKUP($A375,Seqs!$A:$B,2,FALSE),VLOOKUP($A375,'NonXtal_SegEnds_Prot#'!$A:$AL,28,FALSE)-4,1)</f>
        <v>P</v>
      </c>
      <c r="AC375" s="90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1554</v>
      </c>
      <c r="R376" s="64" t="str">
        <f>MID(VLOOKUP($A376,Seqs!$A:$B,2,FALSE),VLOOKUP($A376,'NonXtal_SegEnds_Prot#'!A:AL,10,FALSE),1)</f>
        <v>A</v>
      </c>
      <c r="S376" s="90" t="str">
        <f>MID(VLOOKUP($A376,Seqs!$A:$B,2,FALSE),VLOOKUP($A376,'NonXtal_SegEnds_Prot#'!A:AL,10,FALSE)+6,1)</f>
        <v>S</v>
      </c>
      <c r="T376" s="90" t="str">
        <f>MID(VLOOKUP($A376,Seqs!$A:$B,2,FALSE),VLOOKUP($A376,'NonXtal_SegEnds_Prot#'!A:AL,10,FALSE)+7,1)</f>
        <v>I</v>
      </c>
      <c r="U376" s="90" t="str">
        <f>MID(VLOOKUP($A376,Seqs!$A:$B,2,FALSE),VLOOKUP($A376,'NonXtal_SegEnds_Prot#'!A:AL,10,FALSE)+8,1)</f>
        <v>G</v>
      </c>
      <c r="V376" s="90" t="str">
        <f>MID(VLOOKUP($A376,Seqs!$A:$B,2,FALSE),VLOOKUP($A376,'NonXtal_SegEnds_Prot#'!A:AL,10,FALSE)+9,1)</f>
        <v>W</v>
      </c>
      <c r="W376" s="64" t="str">
        <f>MID(VLOOKUP($A376,Seqs!$A:$B,2,FALSE),VLOOKUP($A376,'NonXtal_SegEnds_Prot#'!$A:$AL,22,FALSE)+6,1)</f>
        <v>L</v>
      </c>
      <c r="X376" s="90" t="str">
        <f>MID(VLOOKUP($A376,Seqs!$A:$B,2,FALSE),VLOOKUP($A376,'NonXtal_SegEnds_Prot#'!$A:$AL,22,FALSE)+7,1)</f>
        <v>T</v>
      </c>
      <c r="Y376" s="90" t="str">
        <f>MID(VLOOKUP($A376,Seqs!$A:$B,2,FALSE),VLOOKUP($A376,'NonXtal_SegEnds_Prot#'!$A:$AL,22,FALSE)+8,1)</f>
        <v>V</v>
      </c>
      <c r="Z376" s="90" t="str">
        <f>MID(VLOOKUP($A376,Seqs!$A:$B,2,FALSE),VLOOKUP($A376,'NonXtal_SegEnds_Prot#'!$A:$AL,22,FALSE)+9,1)</f>
        <v>A</v>
      </c>
      <c r="AA376" s="90" t="str">
        <f>MID(VLOOKUP($A376,Seqs!$A:$B,2,FALSE),VLOOKUP($A376,'NonXtal_SegEnds_Prot#'!$A:$AL,22,FALSE)+10,1)</f>
        <v>I</v>
      </c>
      <c r="AB376" s="64" t="str">
        <f>MID(VLOOKUP($A376,Seqs!$A:$B,2,FALSE),VLOOKUP($A376,'NonXtal_SegEnds_Prot#'!$A:$AL,28,FALSE)-4,1)</f>
        <v>P</v>
      </c>
      <c r="AC376" s="90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675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64" t="str">
        <f>MID(VLOOKUP($A377,Seqs!$A:$B,2,FALSE),VLOOKUP($A377,'NonXtal_SegEnds_Prot#'!A:AL,10,FALSE),1)</f>
        <v>A</v>
      </c>
      <c r="S377" s="90" t="str">
        <f>MID(VLOOKUP($A377,Seqs!$A:$B,2,FALSE),VLOOKUP($A377,'NonXtal_SegEnds_Prot#'!A:AL,10,FALSE)+6,1)</f>
        <v>F</v>
      </c>
      <c r="T377" s="90" t="str">
        <f>MID(VLOOKUP($A377,Seqs!$A:$B,2,FALSE),VLOOKUP($A377,'NonXtal_SegEnds_Prot#'!A:AL,10,FALSE)+7,1)</f>
        <v>S</v>
      </c>
      <c r="U377" s="90" t="str">
        <f>MID(VLOOKUP($A377,Seqs!$A:$B,2,FALSE),VLOOKUP($A377,'NonXtal_SegEnds_Prot#'!A:AL,10,FALSE)+8,1)</f>
        <v>F</v>
      </c>
      <c r="V377" s="90" t="str">
        <f>MID(VLOOKUP($A377,Seqs!$A:$B,2,FALSE),VLOOKUP($A377,'NonXtal_SegEnds_Prot#'!A:AL,10,FALSE)+9,1)</f>
        <v>Y</v>
      </c>
      <c r="W377" s="64" t="str">
        <f>MID(VLOOKUP($A377,Seqs!$A:$B,2,FALSE),VLOOKUP($A377,'NonXtal_SegEnds_Prot#'!$A:$AL,22,FALSE)+6,1)</f>
        <v>A</v>
      </c>
      <c r="X377" s="90" t="str">
        <f>MID(VLOOKUP($A377,Seqs!$A:$B,2,FALSE),VLOOKUP($A377,'NonXtal_SegEnds_Prot#'!$A:$AL,22,FALSE)+7,1)</f>
        <v>A</v>
      </c>
      <c r="Y377" s="90" t="str">
        <f>MID(VLOOKUP($A377,Seqs!$A:$B,2,FALSE),VLOOKUP($A377,'NonXtal_SegEnds_Prot#'!$A:$AL,22,FALSE)+8,1)</f>
        <v>C</v>
      </c>
      <c r="Z377" s="90" t="str">
        <f>MID(VLOOKUP($A377,Seqs!$A:$B,2,FALSE),VLOOKUP($A377,'NonXtal_SegEnds_Prot#'!$A:$AL,22,FALSE)+9,1)</f>
        <v>L</v>
      </c>
      <c r="AA377" s="90" t="str">
        <f>MID(VLOOKUP($A377,Seqs!$A:$B,2,FALSE),VLOOKUP($A377,'NonXtal_SegEnds_Prot#'!$A:$AL,22,FALSE)+10,1)</f>
        <v>C</v>
      </c>
      <c r="AB377" s="64" t="str">
        <f>MID(VLOOKUP($A377,Seqs!$A:$B,2,FALSE),VLOOKUP($A377,'NonXtal_SegEnds_Prot#'!$A:$AL,28,FALSE)-4,1)</f>
        <v>L</v>
      </c>
      <c r="AC377" s="90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679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64" t="str">
        <f>MID(VLOOKUP($A378,Seqs!$A:$B,2,FALSE),VLOOKUP($A378,'NonXtal_SegEnds_Prot#'!A:AL,10,FALSE),1)</f>
        <v>D</v>
      </c>
      <c r="S378" s="90" t="str">
        <f>MID(VLOOKUP($A378,Seqs!$A:$B,2,FALSE),VLOOKUP($A378,'NonXtal_SegEnds_Prot#'!A:AL,10,FALSE)+6,1)</f>
        <v>G</v>
      </c>
      <c r="T378" s="90" t="str">
        <f>MID(VLOOKUP($A378,Seqs!$A:$B,2,FALSE),VLOOKUP($A378,'NonXtal_SegEnds_Prot#'!A:AL,10,FALSE)+7,1)</f>
        <v>M</v>
      </c>
      <c r="U378" s="90" t="str">
        <f>MID(VLOOKUP($A378,Seqs!$A:$B,2,FALSE),VLOOKUP($A378,'NonXtal_SegEnds_Prot#'!A:AL,10,FALSE)+8,1)</f>
        <v>V</v>
      </c>
      <c r="V378" s="90" t="str">
        <f>MID(VLOOKUP($A378,Seqs!$A:$B,2,FALSE),VLOOKUP($A378,'NonXtal_SegEnds_Prot#'!A:AL,10,FALSE)+9,1)</f>
        <v>I</v>
      </c>
      <c r="W378" s="64" t="str">
        <f>MID(VLOOKUP($A378,Seqs!$A:$B,2,FALSE),VLOOKUP($A378,'NonXtal_SegEnds_Prot#'!$A:$AL,22,FALSE)+6,1)</f>
        <v>L</v>
      </c>
      <c r="X378" s="90" t="str">
        <f>MID(VLOOKUP($A378,Seqs!$A:$B,2,FALSE),VLOOKUP($A378,'NonXtal_SegEnds_Prot#'!$A:$AL,22,FALSE)+7,1)</f>
        <v>C</v>
      </c>
      <c r="Y378" s="90" t="str">
        <f>MID(VLOOKUP($A378,Seqs!$A:$B,2,FALSE),VLOOKUP($A378,'NonXtal_SegEnds_Prot#'!$A:$AL,22,FALSE)+8,1)</f>
        <v>V</v>
      </c>
      <c r="Z378" s="90" t="str">
        <f>MID(VLOOKUP($A378,Seqs!$A:$B,2,FALSE),VLOOKUP($A378,'NonXtal_SegEnds_Prot#'!$A:$AL,22,FALSE)+9,1)</f>
        <v>E</v>
      </c>
      <c r="AA378" s="90" t="str">
        <f>MID(VLOOKUP($A378,Seqs!$A:$B,2,FALSE),VLOOKUP($A378,'NonXtal_SegEnds_Prot#'!$A:$AL,22,FALSE)+10,1)</f>
        <v>G</v>
      </c>
      <c r="AB378" s="64" t="str">
        <f>MID(VLOOKUP($A378,Seqs!$A:$B,2,FALSE),VLOOKUP($A378,'NonXtal_SegEnds_Prot#'!$A:$AL,28,FALSE)-4,1)</f>
        <v>T</v>
      </c>
      <c r="AC378" s="90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676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64" t="str">
        <f>MID(VLOOKUP($A379,Seqs!$A:$B,2,FALSE),VLOOKUP($A379,'NonXtal_SegEnds_Prot#'!A:AL,10,FALSE),1)</f>
        <v>W</v>
      </c>
      <c r="S379" s="90" t="str">
        <f>MID(VLOOKUP($A379,Seqs!$A:$B,2,FALSE),VLOOKUP($A379,'NonXtal_SegEnds_Prot#'!A:AL,10,FALSE)+6,1)</f>
        <v>K</v>
      </c>
      <c r="T379" s="90" t="str">
        <f>MID(VLOOKUP($A379,Seqs!$A:$B,2,FALSE),VLOOKUP($A379,'NonXtal_SegEnds_Prot#'!A:AL,10,FALSE)+7,1)</f>
        <v>R</v>
      </c>
      <c r="U379" s="90" t="str">
        <f>MID(VLOOKUP($A379,Seqs!$A:$B,2,FALSE),VLOOKUP($A379,'NonXtal_SegEnds_Prot#'!A:AL,10,FALSE)+8,1)</f>
        <v>R</v>
      </c>
      <c r="V379" s="90" t="str">
        <f>MID(VLOOKUP($A379,Seqs!$A:$B,2,FALSE),VLOOKUP($A379,'NonXtal_SegEnds_Prot#'!A:AL,10,FALSE)+9,1)</f>
        <v>N</v>
      </c>
      <c r="W379" s="64" t="str">
        <f>MID(VLOOKUP($A379,Seqs!$A:$B,2,FALSE),VLOOKUP($A379,'NonXtal_SegEnds_Prot#'!$A:$AL,22,FALSE)+6,1)</f>
        <v>Y</v>
      </c>
      <c r="X379" s="90" t="str">
        <f>MID(VLOOKUP($A379,Seqs!$A:$B,2,FALSE),VLOOKUP($A379,'NonXtal_SegEnds_Prot#'!$A:$AL,22,FALSE)+7,1)</f>
        <v>G</v>
      </c>
      <c r="Y379" s="90" t="str">
        <f>MID(VLOOKUP($A379,Seqs!$A:$B,2,FALSE),VLOOKUP($A379,'NonXtal_SegEnds_Prot#'!$A:$AL,22,FALSE)+8,1)</f>
        <v>L</v>
      </c>
      <c r="Z379" s="90" t="str">
        <f>MID(VLOOKUP($A379,Seqs!$A:$B,2,FALSE),VLOOKUP($A379,'NonXtal_SegEnds_Prot#'!$A:$AL,22,FALSE)+9,1)</f>
        <v>W</v>
      </c>
      <c r="AA379" s="90" t="str">
        <f>MID(VLOOKUP($A379,Seqs!$A:$B,2,FALSE),VLOOKUP($A379,'NonXtal_SegEnds_Prot#'!$A:$AL,22,FALSE)+10,1)</f>
        <v>K</v>
      </c>
      <c r="AB379" s="64" t="str">
        <f>MID(VLOOKUP($A379,Seqs!$A:$B,2,FALSE),VLOOKUP($A379,'NonXtal_SegEnds_Prot#'!$A:$AL,28,FALSE)-4,1)</f>
        <v>A</v>
      </c>
      <c r="AC379" s="90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680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64" t="str">
        <f>MID(VLOOKUP($A380,Seqs!$A:$B,2,FALSE),VLOOKUP($A380,'NonXtal_SegEnds_Prot#'!A:AL,10,FALSE),1)</f>
        <v>D</v>
      </c>
      <c r="S380" s="90" t="str">
        <f>MID(VLOOKUP($A380,Seqs!$A:$B,2,FALSE),VLOOKUP($A380,'NonXtal_SegEnds_Prot#'!A:AL,10,FALSE)+6,1)</f>
        <v>S</v>
      </c>
      <c r="T380" s="90" t="str">
        <f>MID(VLOOKUP($A380,Seqs!$A:$B,2,FALSE),VLOOKUP($A380,'NonXtal_SegEnds_Prot#'!A:AL,10,FALSE)+7,1)</f>
        <v>Y</v>
      </c>
      <c r="U380" s="90" t="str">
        <f>MID(VLOOKUP($A380,Seqs!$A:$B,2,FALSE),VLOOKUP($A380,'NonXtal_SegEnds_Prot#'!A:AL,10,FALSE)+8,1)</f>
        <v>F</v>
      </c>
      <c r="V380" s="90" t="str">
        <f>MID(VLOOKUP($A380,Seqs!$A:$B,2,FALSE),VLOOKUP($A380,'NonXtal_SegEnds_Prot#'!A:AL,10,FALSE)+9,1)</f>
        <v>Y</v>
      </c>
      <c r="W380" s="64" t="str">
        <f>MID(VLOOKUP($A380,Seqs!$A:$B,2,FALSE),VLOOKUP($A380,'NonXtal_SegEnds_Prot#'!$A:$AL,22,FALSE)+6,1)</f>
        <v>A</v>
      </c>
      <c r="X380" s="90" t="str">
        <f>MID(VLOOKUP($A380,Seqs!$A:$B,2,FALSE),VLOOKUP($A380,'NonXtal_SegEnds_Prot#'!$A:$AL,22,FALSE)+7,1)</f>
        <v>L</v>
      </c>
      <c r="Y380" s="90" t="str">
        <f>MID(VLOOKUP($A380,Seqs!$A:$B,2,FALSE),VLOOKUP($A380,'NonXtal_SegEnds_Prot#'!$A:$AL,22,FALSE)+8,1)</f>
        <v>K</v>
      </c>
      <c r="Z380" s="90" t="str">
        <f>MID(VLOOKUP($A380,Seqs!$A:$B,2,FALSE),VLOOKUP($A380,'NonXtal_SegEnds_Prot#'!$A:$AL,22,FALSE)+9,1)</f>
        <v>K</v>
      </c>
      <c r="AA380" s="90" t="str">
        <f>MID(VLOOKUP($A380,Seqs!$A:$B,2,FALSE),VLOOKUP($A380,'NonXtal_SegEnds_Prot#'!$A:$AL,22,FALSE)+10,1)</f>
        <v>I</v>
      </c>
      <c r="AB380" s="64" t="str">
        <f>MID(VLOOKUP($A380,Seqs!$A:$B,2,FALSE),VLOOKUP($A380,'NonXtal_SegEnds_Prot#'!$A:$AL,28,FALSE)-4,1)</f>
        <v>D</v>
      </c>
      <c r="AC380" s="90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678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64" t="str">
        <f>MID(VLOOKUP($A381,Seqs!$A:$B,2,FALSE),VLOOKUP($A381,'NonXtal_SegEnds_Prot#'!A:AL,10,FALSE),1)</f>
        <v>A</v>
      </c>
      <c r="S381" s="90" t="str">
        <f>MID(VLOOKUP($A381,Seqs!$A:$B,2,FALSE),VLOOKUP($A381,'NonXtal_SegEnds_Prot#'!A:AL,10,FALSE)+6,1)</f>
        <v>M</v>
      </c>
      <c r="T381" s="90" t="str">
        <f>MID(VLOOKUP($A381,Seqs!$A:$B,2,FALSE),VLOOKUP($A381,'NonXtal_SegEnds_Prot#'!A:AL,10,FALSE)+7,1)</f>
        <v>T</v>
      </c>
      <c r="U381" s="90" t="str">
        <f>MID(VLOOKUP($A381,Seqs!$A:$B,2,FALSE),VLOOKUP($A381,'NonXtal_SegEnds_Prot#'!A:AL,10,FALSE)+8,1)</f>
        <v>V</v>
      </c>
      <c r="V381" s="90" t="str">
        <f>MID(VLOOKUP($A381,Seqs!$A:$B,2,FALSE),VLOOKUP($A381,'NonXtal_SegEnds_Prot#'!A:AL,10,FALSE)+9,1)</f>
        <v>S</v>
      </c>
      <c r="W381" s="64" t="str">
        <f>MID(VLOOKUP($A381,Seqs!$A:$B,2,FALSE),VLOOKUP($A381,'NonXtal_SegEnds_Prot#'!$A:$AL,22,FALSE)+6,1)</f>
        <v>L</v>
      </c>
      <c r="X381" s="90" t="str">
        <f>MID(VLOOKUP($A381,Seqs!$A:$B,2,FALSE),VLOOKUP($A381,'NonXtal_SegEnds_Prot#'!$A:$AL,22,FALSE)+7,1)</f>
        <v>S</v>
      </c>
      <c r="Y381" s="90" t="str">
        <f>MID(VLOOKUP($A381,Seqs!$A:$B,2,FALSE),VLOOKUP($A381,'NonXtal_SegEnds_Prot#'!$A:$AL,22,FALSE)+8,1)</f>
        <v>A</v>
      </c>
      <c r="Z381" s="90" t="str">
        <f>MID(VLOOKUP($A381,Seqs!$A:$B,2,FALSE),VLOOKUP($A381,'NonXtal_SegEnds_Prot#'!$A:$AL,22,FALSE)+9,1)</f>
        <v>E</v>
      </c>
      <c r="AA381" s="90" t="str">
        <f>MID(VLOOKUP($A381,Seqs!$A:$B,2,FALSE),VLOOKUP($A381,'NonXtal_SegEnds_Prot#'!$A:$AL,22,FALSE)+10,1)</f>
        <v>D</v>
      </c>
      <c r="AB381" s="64" t="str">
        <f>MID(VLOOKUP($A381,Seqs!$A:$B,2,FALSE),VLOOKUP($A381,'NonXtal_SegEnds_Prot#'!$A:$AL,28,FALSE)-4,1)</f>
        <v>F</v>
      </c>
      <c r="AC381" s="90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654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64" t="str">
        <f>MID(VLOOKUP($A382,Seqs!$A:$B,2,FALSE),VLOOKUP($A382,'NonXtal_SegEnds_Prot#'!A:AL,10,FALSE),1)</f>
        <v>R</v>
      </c>
      <c r="S382" s="90" t="str">
        <f>MID(VLOOKUP($A382,Seqs!$A:$B,2,FALSE),VLOOKUP($A382,'NonXtal_SegEnds_Prot#'!A:AL,10,FALSE)+6,1)</f>
        <v>V</v>
      </c>
      <c r="T382" s="90" t="str">
        <f>MID(VLOOKUP($A382,Seqs!$A:$B,2,FALSE),VLOOKUP($A382,'NonXtal_SegEnds_Prot#'!A:AL,10,FALSE)+7,1)</f>
        <v>M</v>
      </c>
      <c r="U382" s="90" t="str">
        <f>MID(VLOOKUP($A382,Seqs!$A:$B,2,FALSE),VLOOKUP($A382,'NonXtal_SegEnds_Prot#'!A:AL,10,FALSE)+8,1)</f>
        <v>L</v>
      </c>
      <c r="V382" s="90" t="str">
        <f>MID(VLOOKUP($A382,Seqs!$A:$B,2,FALSE),VLOOKUP($A382,'NonXtal_SegEnds_Prot#'!A:AL,10,FALSE)+9,1)</f>
        <v>F</v>
      </c>
      <c r="W382" s="64" t="str">
        <f>MID(VLOOKUP($A382,Seqs!$A:$B,2,FALSE),VLOOKUP($A382,'NonXtal_SegEnds_Prot#'!$A:$AL,22,FALSE)+6,1)</f>
        <v>I</v>
      </c>
      <c r="X382" s="90" t="str">
        <f>MID(VLOOKUP($A382,Seqs!$A:$B,2,FALSE),VLOOKUP($A382,'NonXtal_SegEnds_Prot#'!$A:$AL,22,FALSE)+7,1)</f>
        <v>C</v>
      </c>
      <c r="Y382" s="90" t="str">
        <f>MID(VLOOKUP($A382,Seqs!$A:$B,2,FALSE),VLOOKUP($A382,'NonXtal_SegEnds_Prot#'!$A:$AL,22,FALSE)+8,1)</f>
        <v>N</v>
      </c>
      <c r="Z382" s="90" t="str">
        <f>MID(VLOOKUP($A382,Seqs!$A:$B,2,FALSE),VLOOKUP($A382,'NonXtal_SegEnds_Prot#'!$A:$AL,22,FALSE)+9,1)</f>
        <v>L</v>
      </c>
      <c r="AA382" s="90" t="str">
        <f>MID(VLOOKUP($A382,Seqs!$A:$B,2,FALSE),VLOOKUP($A382,'NonXtal_SegEnds_Prot#'!$A:$AL,22,FALSE)+10,1)</f>
        <v>A</v>
      </c>
      <c r="AB382" s="64" t="str">
        <f>MID(VLOOKUP($A382,Seqs!$A:$B,2,FALSE),VLOOKUP($A382,'NonXtal_SegEnds_Prot#'!$A:$AL,28,FALSE)-4,1)</f>
        <v>A</v>
      </c>
      <c r="AC382" s="90" t="str">
        <f>MID(VLOOKUP($A382,Seqs!$A:$B,2,FALSE),VLOOKUP($A382,'NonXtal_SegEnds_Prot#'!$A:$AL,28,FALSE),1)</f>
        <v>P</v>
      </c>
    </row>
    <row r="383" spans="1:29" s="2" customFormat="1" x14ac:dyDescent="0.2">
      <c r="A383" s="2" t="s">
        <v>655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64" t="str">
        <f>MID(VLOOKUP($A383,Seqs!$A:$B,2,FALSE),VLOOKUP($A383,'NonXtal_SegEnds_Prot#'!A:AL,10,FALSE),1)</f>
        <v>R</v>
      </c>
      <c r="S383" s="90" t="str">
        <f>MID(VLOOKUP($A383,Seqs!$A:$B,2,FALSE),VLOOKUP($A383,'NonXtal_SegEnds_Prot#'!A:AL,10,FALSE)+6,1)</f>
        <v>V</v>
      </c>
      <c r="T383" s="90" t="str">
        <f>MID(VLOOKUP($A383,Seqs!$A:$B,2,FALSE),VLOOKUP($A383,'NonXtal_SegEnds_Prot#'!A:AL,10,FALSE)+7,1)</f>
        <v>I</v>
      </c>
      <c r="U383" s="90" t="str">
        <f>MID(VLOOKUP($A383,Seqs!$A:$B,2,FALSE),VLOOKUP($A383,'NonXtal_SegEnds_Prot#'!A:AL,10,FALSE)+8,1)</f>
        <v>L</v>
      </c>
      <c r="V383" s="90" t="str">
        <f>MID(VLOOKUP($A383,Seqs!$A:$B,2,FALSE),VLOOKUP($A383,'NonXtal_SegEnds_Prot#'!A:AL,10,FALSE)+9,1)</f>
        <v>L</v>
      </c>
      <c r="W383" s="64" t="str">
        <f>MID(VLOOKUP($A383,Seqs!$A:$B,2,FALSE),VLOOKUP($A383,'NonXtal_SegEnds_Prot#'!$A:$AL,22,FALSE)+6,1)</f>
        <v>V</v>
      </c>
      <c r="X383" s="90" t="str">
        <f>MID(VLOOKUP($A383,Seqs!$A:$B,2,FALSE),VLOOKUP($A383,'NonXtal_SegEnds_Prot#'!$A:$AL,22,FALSE)+7,1)</f>
        <v>C</v>
      </c>
      <c r="Y383" s="90" t="str">
        <f>MID(VLOOKUP($A383,Seqs!$A:$B,2,FALSE),VLOOKUP($A383,'NonXtal_SegEnds_Prot#'!$A:$AL,22,FALSE)+8,1)</f>
        <v>H</v>
      </c>
      <c r="Z383" s="90" t="str">
        <f>MID(VLOOKUP($A383,Seqs!$A:$B,2,FALSE),VLOOKUP($A383,'NonXtal_SegEnds_Prot#'!$A:$AL,22,FALSE)+9,1)</f>
        <v>L</v>
      </c>
      <c r="AA383" s="90" t="str">
        <f>MID(VLOOKUP($A383,Seqs!$A:$B,2,FALSE),VLOOKUP($A383,'NonXtal_SegEnds_Prot#'!$A:$AL,22,FALSE)+10,1)</f>
        <v>V</v>
      </c>
      <c r="AB383" s="64" t="str">
        <f>MID(VLOOKUP($A383,Seqs!$A:$B,2,FALSE),VLOOKUP($A383,'NonXtal_SegEnds_Prot#'!$A:$AL,28,FALSE)-4,1)</f>
        <v>A</v>
      </c>
      <c r="AC383" s="90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656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64" t="str">
        <f>MID(VLOOKUP($A384,Seqs!$A:$B,2,FALSE),VLOOKUP($A384,'NonXtal_SegEnds_Prot#'!A:AL,10,FALSE),1)</f>
        <v>R</v>
      </c>
      <c r="S384" s="90" t="str">
        <f>MID(VLOOKUP($A384,Seqs!$A:$B,2,FALSE),VLOOKUP($A384,'NonXtal_SegEnds_Prot#'!A:AL,10,FALSE)+6,1)</f>
        <v>V</v>
      </c>
      <c r="T384" s="90" t="str">
        <f>MID(VLOOKUP($A384,Seqs!$A:$B,2,FALSE),VLOOKUP($A384,'NonXtal_SegEnds_Prot#'!A:AL,10,FALSE)+7,1)</f>
        <v>L</v>
      </c>
      <c r="U384" s="90" t="str">
        <f>MID(VLOOKUP($A384,Seqs!$A:$B,2,FALSE),VLOOKUP($A384,'NonXtal_SegEnds_Prot#'!A:AL,10,FALSE)+8,1)</f>
        <v>L</v>
      </c>
      <c r="V384" s="90" t="str">
        <f>MID(VLOOKUP($A384,Seqs!$A:$B,2,FALSE),VLOOKUP($A384,'NonXtal_SegEnds_Prot#'!A:AL,10,FALSE)+9,1)</f>
        <v>L</v>
      </c>
      <c r="W384" s="64" t="str">
        <f>MID(VLOOKUP($A384,Seqs!$A:$B,2,FALSE),VLOOKUP($A384,'NonXtal_SegEnds_Prot#'!$A:$AL,22,FALSE)+6,1)</f>
        <v>V</v>
      </c>
      <c r="X384" s="90" t="str">
        <f>MID(VLOOKUP($A384,Seqs!$A:$B,2,FALSE),VLOOKUP($A384,'NonXtal_SegEnds_Prot#'!$A:$AL,22,FALSE)+7,1)</f>
        <v>C</v>
      </c>
      <c r="Y384" s="90" t="str">
        <f>MID(VLOOKUP($A384,Seqs!$A:$B,2,FALSE),VLOOKUP($A384,'NonXtal_SegEnds_Prot#'!$A:$AL,22,FALSE)+8,1)</f>
        <v>H</v>
      </c>
      <c r="Z384" s="90" t="str">
        <f>MID(VLOOKUP($A384,Seqs!$A:$B,2,FALSE),VLOOKUP($A384,'NonXtal_SegEnds_Prot#'!$A:$AL,22,FALSE)+9,1)</f>
        <v>L</v>
      </c>
      <c r="AA384" s="90" t="str">
        <f>MID(VLOOKUP($A384,Seqs!$A:$B,2,FALSE),VLOOKUP($A384,'NonXtal_SegEnds_Prot#'!$A:$AL,22,FALSE)+10,1)</f>
        <v>F</v>
      </c>
      <c r="AB384" s="64" t="str">
        <f>MID(VLOOKUP($A384,Seqs!$A:$B,2,FALSE),VLOOKUP($A384,'NonXtal_SegEnds_Prot#'!$A:$AL,28,FALSE)-4,1)</f>
        <v>A</v>
      </c>
      <c r="AC384" s="90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657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64" t="str">
        <f>MID(VLOOKUP($A385,Seqs!$A:$B,2,FALSE),VLOOKUP($A385,'NonXtal_SegEnds_Prot#'!A:AL,10,FALSE),1)</f>
        <v>R</v>
      </c>
      <c r="S385" s="90" t="str">
        <f>MID(VLOOKUP($A385,Seqs!$A:$B,2,FALSE),VLOOKUP($A385,'NonXtal_SegEnds_Prot#'!A:AL,10,FALSE)+6,1)</f>
        <v>V</v>
      </c>
      <c r="T385" s="90" t="str">
        <f>MID(VLOOKUP($A385,Seqs!$A:$B,2,FALSE),VLOOKUP($A385,'NonXtal_SegEnds_Prot#'!A:AL,10,FALSE)+7,1)</f>
        <v>L</v>
      </c>
      <c r="U385" s="90" t="str">
        <f>MID(VLOOKUP($A385,Seqs!$A:$B,2,FALSE),VLOOKUP($A385,'NonXtal_SegEnds_Prot#'!A:AL,10,FALSE)+8,1)</f>
        <v>L</v>
      </c>
      <c r="V385" s="90" t="str">
        <f>MID(VLOOKUP($A385,Seqs!$A:$B,2,FALSE),VLOOKUP($A385,'NonXtal_SegEnds_Prot#'!A:AL,10,FALSE)+9,1)</f>
        <v>L</v>
      </c>
      <c r="W385" s="64" t="str">
        <f>MID(VLOOKUP($A385,Seqs!$A:$B,2,FALSE),VLOOKUP($A385,'NonXtal_SegEnds_Prot#'!$A:$AL,22,FALSE)+6,1)</f>
        <v>A</v>
      </c>
      <c r="X385" s="90" t="str">
        <f>MID(VLOOKUP($A385,Seqs!$A:$B,2,FALSE),VLOOKUP($A385,'NonXtal_SegEnds_Prot#'!$A:$AL,22,FALSE)+7,1)</f>
        <v>C</v>
      </c>
      <c r="Y385" s="90" t="str">
        <f>MID(VLOOKUP($A385,Seqs!$A:$B,2,FALSE),VLOOKUP($A385,'NonXtal_SegEnds_Prot#'!$A:$AL,22,FALSE)+8,1)</f>
        <v>Q</v>
      </c>
      <c r="Z385" s="90" t="str">
        <f>MID(VLOOKUP($A385,Seqs!$A:$B,2,FALSE),VLOOKUP($A385,'NonXtal_SegEnds_Prot#'!$A:$AL,22,FALSE)+9,1)</f>
        <v>L</v>
      </c>
      <c r="AA385" s="90" t="str">
        <f>MID(VLOOKUP($A385,Seqs!$A:$B,2,FALSE),VLOOKUP($A385,'NonXtal_SegEnds_Prot#'!$A:$AL,22,FALSE)+10,1)</f>
        <v>F</v>
      </c>
      <c r="AB385" s="64" t="str">
        <f>MID(VLOOKUP($A385,Seqs!$A:$B,2,FALSE),VLOOKUP($A385,'NonXtal_SegEnds_Prot#'!$A:$AL,28,FALSE)-4,1)</f>
        <v>G</v>
      </c>
      <c r="AC385" s="90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663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64" t="str">
        <f>MID(VLOOKUP($A386,Seqs!$A:$B,2,FALSE),VLOOKUP($A386,'NonXtal_SegEnds_Prot#'!A:AL,10,FALSE),1)</f>
        <v>R</v>
      </c>
      <c r="S386" s="90" t="str">
        <f>MID(VLOOKUP($A386,Seqs!$A:$B,2,FALSE),VLOOKUP($A386,'NonXtal_SegEnds_Prot#'!A:AL,10,FALSE)+6,1)</f>
        <v>V</v>
      </c>
      <c r="T386" s="90" t="str">
        <f>MID(VLOOKUP($A386,Seqs!$A:$B,2,FALSE),VLOOKUP($A386,'NonXtal_SegEnds_Prot#'!A:AL,10,FALSE)+7,1)</f>
        <v>L</v>
      </c>
      <c r="U386" s="90" t="str">
        <f>MID(VLOOKUP($A386,Seqs!$A:$B,2,FALSE),VLOOKUP($A386,'NonXtal_SegEnds_Prot#'!A:AL,10,FALSE)+8,1)</f>
        <v>L</v>
      </c>
      <c r="V386" s="90" t="str">
        <f>MID(VLOOKUP($A386,Seqs!$A:$B,2,FALSE),VLOOKUP($A386,'NonXtal_SegEnds_Prot#'!A:AL,10,FALSE)+9,1)</f>
        <v>L</v>
      </c>
      <c r="W386" s="64" t="str">
        <f>MID(VLOOKUP($A386,Seqs!$A:$B,2,FALSE),VLOOKUP($A386,'NonXtal_SegEnds_Prot#'!$A:$AL,22,FALSE)+6,1)</f>
        <v>A</v>
      </c>
      <c r="X386" s="90" t="str">
        <f>MID(VLOOKUP($A386,Seqs!$A:$B,2,FALSE),VLOOKUP($A386,'NonXtal_SegEnds_Prot#'!$A:$AL,22,FALSE)+7,1)</f>
        <v>C</v>
      </c>
      <c r="Y386" s="90" t="str">
        <f>MID(VLOOKUP($A386,Seqs!$A:$B,2,FALSE),VLOOKUP($A386,'NonXtal_SegEnds_Prot#'!$A:$AL,22,FALSE)+8,1)</f>
        <v>H</v>
      </c>
      <c r="Z386" s="90" t="str">
        <f>MID(VLOOKUP($A386,Seqs!$A:$B,2,FALSE),VLOOKUP($A386,'NonXtal_SegEnds_Prot#'!$A:$AL,22,FALSE)+9,1)</f>
        <v>L</v>
      </c>
      <c r="AA386" s="90" t="str">
        <f>MID(VLOOKUP($A386,Seqs!$A:$B,2,FALSE),VLOOKUP($A386,'NonXtal_SegEnds_Prot#'!$A:$AL,22,FALSE)+10,1)</f>
        <v>F</v>
      </c>
      <c r="AB386" s="64" t="str">
        <f>MID(VLOOKUP($A386,Seqs!$A:$B,2,FALSE),VLOOKUP($A386,'NonXtal_SegEnds_Prot#'!$A:$AL,28,FALSE)-4,1)</f>
        <v>A</v>
      </c>
      <c r="AC386" s="90" t="str">
        <f>MID(VLOOKUP($A386,Seqs!$A:$B,2,FALSE),VLOOKUP($A386,'NonXtal_SegEnds_Prot#'!$A:$AL,28,FALSE),1)</f>
        <v>P</v>
      </c>
    </row>
    <row r="387" spans="1:29" s="2" customFormat="1" x14ac:dyDescent="0.2">
      <c r="A387" s="2" t="s">
        <v>1125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64" t="str">
        <f>MID(VLOOKUP($A387,Seqs!$A:$B,2,FALSE),VLOOKUP($A387,'NonXtal_SegEnds_Prot#'!A:AL,10,FALSE),1)</f>
        <v>R</v>
      </c>
      <c r="S387" s="90" t="str">
        <f>MID(VLOOKUP($A387,Seqs!$A:$B,2,FALSE),VLOOKUP($A387,'NonXtal_SegEnds_Prot#'!A:AL,10,FALSE)+6,1)</f>
        <v>V</v>
      </c>
      <c r="T387" s="90" t="str">
        <f>MID(VLOOKUP($A387,Seqs!$A:$B,2,FALSE),VLOOKUP($A387,'NonXtal_SegEnds_Prot#'!A:AL,10,FALSE)+7,1)</f>
        <v>L</v>
      </c>
      <c r="U387" s="90" t="str">
        <f>MID(VLOOKUP($A387,Seqs!$A:$B,2,FALSE),VLOOKUP($A387,'NonXtal_SegEnds_Prot#'!A:AL,10,FALSE)+8,1)</f>
        <v>L</v>
      </c>
      <c r="V387" s="90" t="str">
        <f>MID(VLOOKUP($A387,Seqs!$A:$B,2,FALSE),VLOOKUP($A387,'NonXtal_SegEnds_Prot#'!A:AL,10,FALSE)+9,1)</f>
        <v>L</v>
      </c>
      <c r="W387" s="64" t="str">
        <f>MID(VLOOKUP($A387,Seqs!$A:$B,2,FALSE),VLOOKUP($A387,'NonXtal_SegEnds_Prot#'!$A:$AL,22,FALSE)+6,1)</f>
        <v>A</v>
      </c>
      <c r="X387" s="90" t="str">
        <f>MID(VLOOKUP($A387,Seqs!$A:$B,2,FALSE),VLOOKUP($A387,'NonXtal_SegEnds_Prot#'!$A:$AL,22,FALSE)+7,1)</f>
        <v>C</v>
      </c>
      <c r="Y387" s="90" t="str">
        <f>MID(VLOOKUP($A387,Seqs!$A:$B,2,FALSE),VLOOKUP($A387,'NonXtal_SegEnds_Prot#'!$A:$AL,22,FALSE)+8,1)</f>
        <v>H</v>
      </c>
      <c r="Z387" s="90" t="str">
        <f>MID(VLOOKUP($A387,Seqs!$A:$B,2,FALSE),VLOOKUP($A387,'NonXtal_SegEnds_Prot#'!$A:$AL,22,FALSE)+9,1)</f>
        <v>L</v>
      </c>
      <c r="AA387" s="90" t="str">
        <f>MID(VLOOKUP($A387,Seqs!$A:$B,2,FALSE),VLOOKUP($A387,'NonXtal_SegEnds_Prot#'!$A:$AL,22,FALSE)+10,1)</f>
        <v>F</v>
      </c>
      <c r="AB387" s="64" t="str">
        <f>MID(VLOOKUP($A387,Seqs!$A:$B,2,FALSE),VLOOKUP($A387,'NonXtal_SegEnds_Prot#'!$A:$AL,28,FALSE)-4,1)</f>
        <v>A</v>
      </c>
      <c r="AC387" s="90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664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64" t="str">
        <f>MID(VLOOKUP($A388,Seqs!$A:$B,2,FALSE),VLOOKUP($A388,'NonXtal_SegEnds_Prot#'!A:AL,10,FALSE),1)</f>
        <v>R</v>
      </c>
      <c r="S388" s="90" t="str">
        <f>MID(VLOOKUP($A388,Seqs!$A:$B,2,FALSE),VLOOKUP($A388,'NonXtal_SegEnds_Prot#'!A:AL,10,FALSE)+6,1)</f>
        <v>V</v>
      </c>
      <c r="T388" s="90" t="str">
        <f>MID(VLOOKUP($A388,Seqs!$A:$B,2,FALSE),VLOOKUP($A388,'NonXtal_SegEnds_Prot#'!A:AL,10,FALSE)+7,1)</f>
        <v>L</v>
      </c>
      <c r="U388" s="90" t="str">
        <f>MID(VLOOKUP($A388,Seqs!$A:$B,2,FALSE),VLOOKUP($A388,'NonXtal_SegEnds_Prot#'!A:AL,10,FALSE)+8,1)</f>
        <v>V</v>
      </c>
      <c r="V388" s="90" t="str">
        <f>MID(VLOOKUP($A388,Seqs!$A:$B,2,FALSE),VLOOKUP($A388,'NonXtal_SegEnds_Prot#'!A:AL,10,FALSE)+9,1)</f>
        <v>L</v>
      </c>
      <c r="W388" s="64" t="str">
        <f>MID(VLOOKUP($A388,Seqs!$A:$B,2,FALSE),VLOOKUP($A388,'NonXtal_SegEnds_Prot#'!$A:$AL,22,FALSE)+6,1)</f>
        <v>V</v>
      </c>
      <c r="X388" s="90" t="str">
        <f>MID(VLOOKUP($A388,Seqs!$A:$B,2,FALSE),VLOOKUP($A388,'NonXtal_SegEnds_Prot#'!$A:$AL,22,FALSE)+7,1)</f>
        <v>C</v>
      </c>
      <c r="Y388" s="90" t="str">
        <f>MID(VLOOKUP($A388,Seqs!$A:$B,2,FALSE),VLOOKUP($A388,'NonXtal_SegEnds_Prot#'!$A:$AL,22,FALSE)+8,1)</f>
        <v>H</v>
      </c>
      <c r="Z388" s="90" t="str">
        <f>MID(VLOOKUP($A388,Seqs!$A:$B,2,FALSE),VLOOKUP($A388,'NonXtal_SegEnds_Prot#'!$A:$AL,22,FALSE)+9,1)</f>
        <v>L</v>
      </c>
      <c r="AA388" s="90" t="str">
        <f>MID(VLOOKUP($A388,Seqs!$A:$B,2,FALSE),VLOOKUP($A388,'NonXtal_SegEnds_Prot#'!$A:$AL,22,FALSE)+10,1)</f>
        <v>F</v>
      </c>
      <c r="AB388" s="64" t="str">
        <f>MID(VLOOKUP($A388,Seqs!$A:$B,2,FALSE),VLOOKUP($A388,'NonXtal_SegEnds_Prot#'!$A:$AL,28,FALSE)-4,1)</f>
        <v>A</v>
      </c>
      <c r="AC388" s="90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665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64" t="str">
        <f>MID(VLOOKUP($A389,Seqs!$A:$B,2,FALSE),VLOOKUP($A389,'NonXtal_SegEnds_Prot#'!A:AL,10,FALSE),1)</f>
        <v>R</v>
      </c>
      <c r="S389" s="90" t="str">
        <f>MID(VLOOKUP($A389,Seqs!$A:$B,2,FALSE),VLOOKUP($A389,'NonXtal_SegEnds_Prot#'!A:AL,10,FALSE)+6,1)</f>
        <v>A</v>
      </c>
      <c r="T389" s="90" t="str">
        <f>MID(VLOOKUP($A389,Seqs!$A:$B,2,FALSE),VLOOKUP($A389,'NonXtal_SegEnds_Prot#'!A:AL,10,FALSE)+7,1)</f>
        <v>L</v>
      </c>
      <c r="U389" s="90" t="str">
        <f>MID(VLOOKUP($A389,Seqs!$A:$B,2,FALSE),VLOOKUP($A389,'NonXtal_SegEnds_Prot#'!A:AL,10,FALSE)+8,1)</f>
        <v>L</v>
      </c>
      <c r="V389" s="90" t="str">
        <f>MID(VLOOKUP($A389,Seqs!$A:$B,2,FALSE),VLOOKUP($A389,'NonXtal_SegEnds_Prot#'!A:AL,10,FALSE)+9,1)</f>
        <v>L</v>
      </c>
      <c r="W389" s="64" t="str">
        <f>MID(VLOOKUP($A389,Seqs!$A:$B,2,FALSE),VLOOKUP($A389,'NonXtal_SegEnds_Prot#'!$A:$AL,22,FALSE)+6,1)</f>
        <v>V</v>
      </c>
      <c r="X389" s="90" t="str">
        <f>MID(VLOOKUP($A389,Seqs!$A:$B,2,FALSE),VLOOKUP($A389,'NonXtal_SegEnds_Prot#'!$A:$AL,22,FALSE)+7,1)</f>
        <v>C</v>
      </c>
      <c r="Y389" s="90" t="str">
        <f>MID(VLOOKUP($A389,Seqs!$A:$B,2,FALSE),VLOOKUP($A389,'NonXtal_SegEnds_Prot#'!$A:$AL,22,FALSE)+8,1)</f>
        <v>H</v>
      </c>
      <c r="Z389" s="90" t="str">
        <f>MID(VLOOKUP($A389,Seqs!$A:$B,2,FALSE),VLOOKUP($A389,'NonXtal_SegEnds_Prot#'!$A:$AL,22,FALSE)+9,1)</f>
        <v>L</v>
      </c>
      <c r="AA389" s="90" t="str">
        <f>MID(VLOOKUP($A389,Seqs!$A:$B,2,FALSE),VLOOKUP($A389,'NonXtal_SegEnds_Prot#'!$A:$AL,22,FALSE)+10,1)</f>
        <v>L</v>
      </c>
      <c r="AB389" s="64" t="str">
        <f>MID(VLOOKUP($A389,Seqs!$A:$B,2,FALSE),VLOOKUP($A389,'NonXtal_SegEnds_Prot#'!$A:$AL,28,FALSE)-4,1)</f>
        <v>W</v>
      </c>
      <c r="AC389" s="90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662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64" t="str">
        <f>MID(VLOOKUP($A390,Seqs!$A:$B,2,FALSE),VLOOKUP($A390,'NonXtal_SegEnds_Prot#'!A:AL,10,FALSE),1)</f>
        <v>T</v>
      </c>
      <c r="S390" s="90" t="str">
        <f>MID(VLOOKUP($A390,Seqs!$A:$B,2,FALSE),VLOOKUP($A390,'NonXtal_SegEnds_Prot#'!A:AL,10,FALSE)+6,1)</f>
        <v>V</v>
      </c>
      <c r="T390" s="90" t="str">
        <f>MID(VLOOKUP($A390,Seqs!$A:$B,2,FALSE),VLOOKUP($A390,'NonXtal_SegEnds_Prot#'!A:AL,10,FALSE)+7,1)</f>
        <v>I</v>
      </c>
      <c r="U390" s="90" t="str">
        <f>MID(VLOOKUP($A390,Seqs!$A:$B,2,FALSE),VLOOKUP($A390,'NonXtal_SegEnds_Prot#'!A:AL,10,FALSE)+8,1)</f>
        <v>L</v>
      </c>
      <c r="V390" s="90" t="str">
        <f>MID(VLOOKUP($A390,Seqs!$A:$B,2,FALSE),VLOOKUP($A390,'NonXtal_SegEnds_Prot#'!A:AL,10,FALSE)+9,1)</f>
        <v>F</v>
      </c>
      <c r="W390" s="64" t="str">
        <f>MID(VLOOKUP($A390,Seqs!$A:$B,2,FALSE),VLOOKUP($A390,'NonXtal_SegEnds_Prot#'!$A:$AL,22,FALSE)+6,1)</f>
        <v>I</v>
      </c>
      <c r="X390" s="90" t="str">
        <f>MID(VLOOKUP($A390,Seqs!$A:$B,2,FALSE),VLOOKUP($A390,'NonXtal_SegEnds_Prot#'!$A:$AL,22,FALSE)+7,1)</f>
        <v>F</v>
      </c>
      <c r="Y390" s="90" t="str">
        <f>MID(VLOOKUP($A390,Seqs!$A:$B,2,FALSE),VLOOKUP($A390,'NonXtal_SegEnds_Prot#'!$A:$AL,22,FALSE)+8,1)</f>
        <v>D</v>
      </c>
      <c r="Z390" s="90" t="str">
        <f>MID(VLOOKUP($A390,Seqs!$A:$B,2,FALSE),VLOOKUP($A390,'NonXtal_SegEnds_Prot#'!$A:$AL,22,FALSE)+9,1)</f>
        <v>S</v>
      </c>
      <c r="AA390" s="90" t="str">
        <f>MID(VLOOKUP($A390,Seqs!$A:$B,2,FALSE),VLOOKUP($A390,'NonXtal_SegEnds_Prot#'!$A:$AL,22,FALSE)+10,1)</f>
        <v>L</v>
      </c>
      <c r="AB390" s="64" t="str">
        <f>MID(VLOOKUP($A390,Seqs!$A:$B,2,FALSE),VLOOKUP($A390,'NonXtal_SegEnds_Prot#'!$A:$AL,28,FALSE)-4,1)</f>
        <v>T</v>
      </c>
      <c r="AC390" s="90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666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64" t="str">
        <f>MID(VLOOKUP($A391,Seqs!$A:$B,2,FALSE),VLOOKUP($A391,'NonXtal_SegEnds_Prot#'!A:AL,10,FALSE),1)</f>
        <v>R</v>
      </c>
      <c r="S391" s="90" t="str">
        <f>MID(VLOOKUP($A391,Seqs!$A:$B,2,FALSE),VLOOKUP($A391,'NonXtal_SegEnds_Prot#'!A:AL,10,FALSE)+6,1)</f>
        <v>V</v>
      </c>
      <c r="T391" s="90" t="str">
        <f>MID(VLOOKUP($A391,Seqs!$A:$B,2,FALSE),VLOOKUP($A391,'NonXtal_SegEnds_Prot#'!A:AL,10,FALSE)+7,1)</f>
        <v>V</v>
      </c>
      <c r="U391" s="90" t="str">
        <f>MID(VLOOKUP($A391,Seqs!$A:$B,2,FALSE),VLOOKUP($A391,'NonXtal_SegEnds_Prot#'!A:AL,10,FALSE)+8,1)</f>
        <v>M</v>
      </c>
      <c r="V391" s="90" t="str">
        <f>MID(VLOOKUP($A391,Seqs!$A:$B,2,FALSE),VLOOKUP($A391,'NonXtal_SegEnds_Prot#'!A:AL,10,FALSE)+9,1)</f>
        <v>G</v>
      </c>
      <c r="W391" s="64" t="str">
        <f>MID(VLOOKUP($A391,Seqs!$A:$B,2,FALSE),VLOOKUP($A391,'NonXtal_SegEnds_Prot#'!$A:$AL,22,FALSE)+6,1)</f>
        <v>S</v>
      </c>
      <c r="X391" s="90" t="str">
        <f>MID(VLOOKUP($A391,Seqs!$A:$B,2,FALSE),VLOOKUP($A391,'NonXtal_SegEnds_Prot#'!$A:$AL,22,FALSE)+7,1)</f>
        <v>F</v>
      </c>
      <c r="Y391" s="90" t="str">
        <f>MID(VLOOKUP($A391,Seqs!$A:$B,2,FALSE),VLOOKUP($A391,'NonXtal_SegEnds_Prot#'!$A:$AL,22,FALSE)+8,1)</f>
        <v>T</v>
      </c>
      <c r="Z391" s="90" t="str">
        <f>MID(VLOOKUP($A391,Seqs!$A:$B,2,FALSE),VLOOKUP($A391,'NonXtal_SegEnds_Prot#'!$A:$AL,22,FALSE)+9,1)</f>
        <v>T</v>
      </c>
      <c r="AA391" s="90" t="str">
        <f>MID(VLOOKUP($A391,Seqs!$A:$B,2,FALSE),VLOOKUP($A391,'NonXtal_SegEnds_Prot#'!$A:$AL,22,FALSE)+10,1)</f>
        <v>I</v>
      </c>
      <c r="AB391" s="64" t="str">
        <f>MID(VLOOKUP($A391,Seqs!$A:$B,2,FALSE),VLOOKUP($A391,'NonXtal_SegEnds_Prot#'!$A:$AL,28,FALSE)-4,1)</f>
        <v>T</v>
      </c>
      <c r="AC391" s="90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670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64" t="str">
        <f>MID(VLOOKUP($A392,Seqs!$A:$B,2,FALSE),VLOOKUP($A392,'NonXtal_SegEnds_Prot#'!A:AL,10,FALSE),1)</f>
        <v>R</v>
      </c>
      <c r="S392" s="90" t="str">
        <f>MID(VLOOKUP($A392,Seqs!$A:$B,2,FALSE),VLOOKUP($A392,'NonXtal_SegEnds_Prot#'!A:AL,10,FALSE)+6,1)</f>
        <v>L</v>
      </c>
      <c r="T392" s="90" t="str">
        <f>MID(VLOOKUP($A392,Seqs!$A:$B,2,FALSE),VLOOKUP($A392,'NonXtal_SegEnds_Prot#'!A:AL,10,FALSE)+7,1)</f>
        <v>F</v>
      </c>
      <c r="U392" s="90" t="str">
        <f>MID(VLOOKUP($A392,Seqs!$A:$B,2,FALSE),VLOOKUP($A392,'NonXtal_SegEnds_Prot#'!A:AL,10,FALSE)+8,1)</f>
        <v>L</v>
      </c>
      <c r="V392" s="90" t="str">
        <f>MID(VLOOKUP($A392,Seqs!$A:$B,2,FALSE),VLOOKUP($A392,'NonXtal_SegEnds_Prot#'!A:AL,10,FALSE)+9,1)</f>
        <v>V</v>
      </c>
      <c r="W392" s="64" t="str">
        <f>MID(VLOOKUP($A392,Seqs!$A:$B,2,FALSE),VLOOKUP($A392,'NonXtal_SegEnds_Prot#'!$A:$AL,22,FALSE)+6,1)</f>
        <v>A</v>
      </c>
      <c r="X392" s="90" t="str">
        <f>MID(VLOOKUP($A392,Seqs!$A:$B,2,FALSE),VLOOKUP($A392,'NonXtal_SegEnds_Prot#'!$A:$AL,22,FALSE)+7,1)</f>
        <v>F</v>
      </c>
      <c r="Y392" s="90" t="str">
        <f>MID(VLOOKUP($A392,Seqs!$A:$B,2,FALSE),VLOOKUP($A392,'NonXtal_SegEnds_Prot#'!$A:$AL,22,FALSE)+8,1)</f>
        <v>T</v>
      </c>
      <c r="Z392" s="90" t="str">
        <f>MID(VLOOKUP($A392,Seqs!$A:$B,2,FALSE),VLOOKUP($A392,'NonXtal_SegEnds_Prot#'!$A:$AL,22,FALSE)+9,1)</f>
        <v>T</v>
      </c>
      <c r="AA392" s="90" t="str">
        <f>MID(VLOOKUP($A392,Seqs!$A:$B,2,FALSE),VLOOKUP($A392,'NonXtal_SegEnds_Prot#'!$A:$AL,22,FALSE)+10,1)</f>
        <v>C</v>
      </c>
      <c r="AB392" s="64" t="str">
        <f>MID(VLOOKUP($A392,Seqs!$A:$B,2,FALSE),VLOOKUP($A392,'NonXtal_SegEnds_Prot#'!$A:$AL,28,FALSE)-4,1)</f>
        <v>S</v>
      </c>
      <c r="AC392" s="90" t="str">
        <f>MID(VLOOKUP($A392,Seqs!$A:$B,2,FALSE),VLOOKUP($A392,'NonXtal_SegEnds_Prot#'!$A:$AL,28,FALSE),1)</f>
        <v>Q</v>
      </c>
    </row>
    <row r="393" spans="1:29" s="2" customFormat="1" x14ac:dyDescent="0.2">
      <c r="A393" s="2" t="s">
        <v>672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64" t="str">
        <f>MID(VLOOKUP($A393,Seqs!$A:$B,2,FALSE),VLOOKUP($A393,'NonXtal_SegEnds_Prot#'!A:AL,10,FALSE),1)</f>
        <v>R</v>
      </c>
      <c r="S393" s="90" t="str">
        <f>MID(VLOOKUP($A393,Seqs!$A:$B,2,FALSE),VLOOKUP($A393,'NonXtal_SegEnds_Prot#'!A:AL,10,FALSE)+6,1)</f>
        <v>V</v>
      </c>
      <c r="T393" s="90" t="str">
        <f>MID(VLOOKUP($A393,Seqs!$A:$B,2,FALSE),VLOOKUP($A393,'NonXtal_SegEnds_Prot#'!A:AL,10,FALSE)+7,1)</f>
        <v>I</v>
      </c>
      <c r="U393" s="90" t="str">
        <f>MID(VLOOKUP($A393,Seqs!$A:$B,2,FALSE),VLOOKUP($A393,'NonXtal_SegEnds_Prot#'!A:AL,10,FALSE)+8,1)</f>
        <v>L</v>
      </c>
      <c r="V393" s="90" t="str">
        <f>MID(VLOOKUP($A393,Seqs!$A:$B,2,FALSE),VLOOKUP($A393,'NonXtal_SegEnds_Prot#'!A:AL,10,FALSE)+9,1)</f>
        <v>L</v>
      </c>
      <c r="W393" s="64" t="str">
        <f>MID(VLOOKUP($A393,Seqs!$A:$B,2,FALSE),VLOOKUP($A393,'NonXtal_SegEnds_Prot#'!$A:$AL,22,FALSE)+6,1)</f>
        <v>V</v>
      </c>
      <c r="X393" s="90" t="str">
        <f>MID(VLOOKUP($A393,Seqs!$A:$B,2,FALSE),VLOOKUP($A393,'NonXtal_SegEnds_Prot#'!$A:$AL,22,FALSE)+7,1)</f>
        <v>F</v>
      </c>
      <c r="Y393" s="90" t="str">
        <f>MID(VLOOKUP($A393,Seqs!$A:$B,2,FALSE),VLOOKUP($A393,'NonXtal_SegEnds_Prot#'!$A:$AL,22,FALSE)+8,1)</f>
        <v>I</v>
      </c>
      <c r="Z393" s="90" t="str">
        <f>MID(VLOOKUP($A393,Seqs!$A:$B,2,FALSE),VLOOKUP($A393,'NonXtal_SegEnds_Prot#'!$A:$AL,22,FALSE)+9,1)</f>
        <v>S</v>
      </c>
      <c r="AA393" s="90" t="str">
        <f>MID(VLOOKUP($A393,Seqs!$A:$B,2,FALSE),VLOOKUP($A393,'NonXtal_SegEnds_Prot#'!$A:$AL,22,FALSE)+10,1)</f>
        <v>L</v>
      </c>
      <c r="AB393" s="64" t="str">
        <f>MID(VLOOKUP($A393,Seqs!$A:$B,2,FALSE),VLOOKUP($A393,'NonXtal_SegEnds_Prot#'!$A:$AL,28,FALSE)-4,1)</f>
        <v>A</v>
      </c>
      <c r="AC393" s="90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669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64" t="str">
        <f>MID(VLOOKUP($A394,Seqs!$A:$B,2,FALSE),VLOOKUP($A394,'NonXtal_SegEnds_Prot#'!A:AL,10,FALSE),1)</f>
        <v>R</v>
      </c>
      <c r="S394" s="90" t="str">
        <f>MID(VLOOKUP($A394,Seqs!$A:$B,2,FALSE),VLOOKUP($A394,'NonXtal_SegEnds_Prot#'!A:AL,10,FALSE)+6,1)</f>
        <v>I</v>
      </c>
      <c r="T394" s="90" t="str">
        <f>MID(VLOOKUP($A394,Seqs!$A:$B,2,FALSE),VLOOKUP($A394,'NonXtal_SegEnds_Prot#'!A:AL,10,FALSE)+7,1)</f>
        <v>I</v>
      </c>
      <c r="U394" s="90" t="str">
        <f>MID(VLOOKUP($A394,Seqs!$A:$B,2,FALSE),VLOOKUP($A394,'NonXtal_SegEnds_Prot#'!A:AL,10,FALSE)+8,1)</f>
        <v>L</v>
      </c>
      <c r="V394" s="90" t="str">
        <f>MID(VLOOKUP($A394,Seqs!$A:$B,2,FALSE),VLOOKUP($A394,'NonXtal_SegEnds_Prot#'!A:AL,10,FALSE)+9,1)</f>
        <v>T</v>
      </c>
      <c r="W394" s="64" t="str">
        <f>MID(VLOOKUP($A394,Seqs!$A:$B,2,FALSE),VLOOKUP($A394,'NonXtal_SegEnds_Prot#'!$A:$AL,22,FALSE)+6,1)</f>
        <v>C</v>
      </c>
      <c r="X394" s="90" t="str">
        <f>MID(VLOOKUP($A394,Seqs!$A:$B,2,FALSE),VLOOKUP($A394,'NonXtal_SegEnds_Prot#'!$A:$AL,22,FALSE)+7,1)</f>
        <v>G</v>
      </c>
      <c r="Y394" s="90" t="str">
        <f>MID(VLOOKUP($A394,Seqs!$A:$B,2,FALSE),VLOOKUP($A394,'NonXtal_SegEnds_Prot#'!$A:$AL,22,FALSE)+8,1)</f>
        <v>S</v>
      </c>
      <c r="Z394" s="90" t="str">
        <f>MID(VLOOKUP($A394,Seqs!$A:$B,2,FALSE),VLOOKUP($A394,'NonXtal_SegEnds_Prot#'!$A:$AL,22,FALSE)+9,1)</f>
        <v>T</v>
      </c>
      <c r="AA394" s="90" t="str">
        <f>MID(VLOOKUP($A394,Seqs!$A:$B,2,FALSE),VLOOKUP($A394,'NonXtal_SegEnds_Prot#'!$A:$AL,22,FALSE)+10,1)</f>
        <v>A</v>
      </c>
      <c r="AB394" s="64" t="str">
        <f>MID(VLOOKUP($A394,Seqs!$A:$B,2,FALSE),VLOOKUP($A394,'NonXtal_SegEnds_Prot#'!$A:$AL,28,FALSE)-4,1)</f>
        <v>W</v>
      </c>
      <c r="AC394" s="90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658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64" t="str">
        <f>MID(VLOOKUP($A395,Seqs!$A:$B,2,FALSE),VLOOKUP($A395,'NonXtal_SegEnds_Prot#'!A:AL,10,FALSE),1)</f>
        <v>R</v>
      </c>
      <c r="S395" s="90" t="str">
        <f>MID(VLOOKUP($A395,Seqs!$A:$B,2,FALSE),VLOOKUP($A395,'NonXtal_SegEnds_Prot#'!A:AL,10,FALSE)+6,1)</f>
        <v>L</v>
      </c>
      <c r="T395" s="90" t="str">
        <f>MID(VLOOKUP($A395,Seqs!$A:$B,2,FALSE),VLOOKUP($A395,'NonXtal_SegEnds_Prot#'!A:AL,10,FALSE)+7,1)</f>
        <v>L</v>
      </c>
      <c r="U395" s="90" t="str">
        <f>MID(VLOOKUP($A395,Seqs!$A:$B,2,FALSE),VLOOKUP($A395,'NonXtal_SegEnds_Prot#'!A:AL,10,FALSE)+8,1)</f>
        <v>F</v>
      </c>
      <c r="V395" s="90" t="str">
        <f>MID(VLOOKUP($A395,Seqs!$A:$B,2,FALSE),VLOOKUP($A395,'NonXtal_SegEnds_Prot#'!A:AL,10,FALSE)+9,1)</f>
        <v>L</v>
      </c>
      <c r="W395" s="64" t="str">
        <f>MID(VLOOKUP($A395,Seqs!$A:$B,2,FALSE),VLOOKUP($A395,'NonXtal_SegEnds_Prot#'!$A:$AL,22,FALSE)+6,1)</f>
        <v>C</v>
      </c>
      <c r="X395" s="90" t="str">
        <f>MID(VLOOKUP($A395,Seqs!$A:$B,2,FALSE),VLOOKUP($A395,'NonXtal_SegEnds_Prot#'!$A:$AL,22,FALSE)+7,1)</f>
        <v>I</v>
      </c>
      <c r="Y395" s="90" t="str">
        <f>MID(VLOOKUP($A395,Seqs!$A:$B,2,FALSE),VLOOKUP($A395,'NonXtal_SegEnds_Prot#'!$A:$AL,22,FALSE)+8,1)</f>
        <v>C</v>
      </c>
      <c r="Z395" s="90" t="str">
        <f>MID(VLOOKUP($A395,Seqs!$A:$B,2,FALSE),VLOOKUP($A395,'NonXtal_SegEnds_Prot#'!$A:$AL,22,FALSE)+9,1)</f>
        <v>T</v>
      </c>
      <c r="AA395" s="90" t="str">
        <f>MID(VLOOKUP($A395,Seqs!$A:$B,2,FALSE),VLOOKUP($A395,'NonXtal_SegEnds_Prot#'!$A:$AL,22,FALSE)+10,1)</f>
        <v>V</v>
      </c>
      <c r="AB395" s="64" t="str">
        <f>MID(VLOOKUP($A395,Seqs!$A:$B,2,FALSE),VLOOKUP($A395,'NonXtal_SegEnds_Prot#'!$A:$AL,28,FALSE)-4,1)</f>
        <v>W</v>
      </c>
      <c r="AC395" s="90" t="str">
        <f>MID(VLOOKUP($A395,Seqs!$A:$B,2,FALSE),VLOOKUP($A395,'NonXtal_SegEnds_Prot#'!$A:$AL,28,FALSE),1)</f>
        <v>P</v>
      </c>
    </row>
    <row r="396" spans="1:29" s="2" customFormat="1" x14ac:dyDescent="0.2">
      <c r="A396" s="2" t="s">
        <v>661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64" t="str">
        <f>MID(VLOOKUP($A396,Seqs!$A:$B,2,FALSE),VLOOKUP($A396,'NonXtal_SegEnds_Prot#'!A:AL,10,FALSE),1)</f>
        <v>R</v>
      </c>
      <c r="S396" s="90" t="str">
        <f>MID(VLOOKUP($A396,Seqs!$A:$B,2,FALSE),VLOOKUP($A396,'NonXtal_SegEnds_Prot#'!A:AL,10,FALSE)+6,1)</f>
        <v>V</v>
      </c>
      <c r="T396" s="90" t="str">
        <f>MID(VLOOKUP($A396,Seqs!$A:$B,2,FALSE),VLOOKUP($A396,'NonXtal_SegEnds_Prot#'!A:AL,10,FALSE)+7,1)</f>
        <v>G</v>
      </c>
      <c r="U396" s="90" t="str">
        <f>MID(VLOOKUP($A396,Seqs!$A:$B,2,FALSE),VLOOKUP($A396,'NonXtal_SegEnds_Prot#'!A:AL,10,FALSE)+8,1)</f>
        <v>T</v>
      </c>
      <c r="V396" s="90" t="str">
        <f>MID(VLOOKUP($A396,Seqs!$A:$B,2,FALSE),VLOOKUP($A396,'NonXtal_SegEnds_Prot#'!A:AL,10,FALSE)+9,1)</f>
        <v>V</v>
      </c>
      <c r="W396" s="64" t="str">
        <f>MID(VLOOKUP($A396,Seqs!$A:$B,2,FALSE),VLOOKUP($A396,'NonXtal_SegEnds_Prot#'!$A:$AL,22,FALSE)+6,1)</f>
        <v>F</v>
      </c>
      <c r="X396" s="90" t="str">
        <f>MID(VLOOKUP($A396,Seqs!$A:$B,2,FALSE),VLOOKUP($A396,'NonXtal_SegEnds_Prot#'!$A:$AL,22,FALSE)+7,1)</f>
        <v>I</v>
      </c>
      <c r="Y396" s="90" t="str">
        <f>MID(VLOOKUP($A396,Seqs!$A:$B,2,FALSE),VLOOKUP($A396,'NonXtal_SegEnds_Prot#'!$A:$AL,22,FALSE)+8,1)</f>
        <v>I</v>
      </c>
      <c r="Z396" s="90" t="str">
        <f>MID(VLOOKUP($A396,Seqs!$A:$B,2,FALSE),VLOOKUP($A396,'NonXtal_SegEnds_Prot#'!$A:$AL,22,FALSE)+9,1)</f>
        <v>T</v>
      </c>
      <c r="AA396" s="90" t="str">
        <f>MID(VLOOKUP($A396,Seqs!$A:$B,2,FALSE),VLOOKUP($A396,'NonXtal_SegEnds_Prot#'!$A:$AL,22,FALSE)+10,1)</f>
        <v>L</v>
      </c>
      <c r="AB396" s="64" t="str">
        <f>MID(VLOOKUP($A396,Seqs!$A:$B,2,FALSE),VLOOKUP($A396,'NonXtal_SegEnds_Prot#'!$A:$AL,28,FALSE)-4,1)</f>
        <v>I</v>
      </c>
      <c r="AC396" s="90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674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64" t="str">
        <f>MID(VLOOKUP($A397,Seqs!$A:$B,2,FALSE),VLOOKUP($A397,'NonXtal_SegEnds_Prot#'!A:AL,10,FALSE),1)</f>
        <v>R</v>
      </c>
      <c r="S397" s="90" t="str">
        <f>MID(VLOOKUP($A397,Seqs!$A:$B,2,FALSE),VLOOKUP($A397,'NonXtal_SegEnds_Prot#'!A:AL,10,FALSE)+6,1)</f>
        <v>V</v>
      </c>
      <c r="T397" s="90" t="str">
        <f>MID(VLOOKUP($A397,Seqs!$A:$B,2,FALSE),VLOOKUP($A397,'NonXtal_SegEnds_Prot#'!A:AL,10,FALSE)+7,1)</f>
        <v>I</v>
      </c>
      <c r="U397" s="90" t="str">
        <f>MID(VLOOKUP($A397,Seqs!$A:$B,2,FALSE),VLOOKUP($A397,'NonXtal_SegEnds_Prot#'!A:AL,10,FALSE)+8,1)</f>
        <v>S</v>
      </c>
      <c r="V397" s="90" t="str">
        <f>MID(VLOOKUP($A397,Seqs!$A:$B,2,FALSE),VLOOKUP($A397,'NonXtal_SegEnds_Prot#'!A:AL,10,FALSE)+9,1)</f>
        <v>L</v>
      </c>
      <c r="W397" s="64" t="str">
        <f>MID(VLOOKUP($A397,Seqs!$A:$B,2,FALSE),VLOOKUP($A397,'NonXtal_SegEnds_Prot#'!$A:$AL,22,FALSE)+6,1)</f>
        <v>L</v>
      </c>
      <c r="X397" s="90" t="str">
        <f>MID(VLOOKUP($A397,Seqs!$A:$B,2,FALSE),VLOOKUP($A397,'NonXtal_SegEnds_Prot#'!$A:$AL,22,FALSE)+7,1)</f>
        <v>I</v>
      </c>
      <c r="Y397" s="90" t="str">
        <f>MID(VLOOKUP($A397,Seqs!$A:$B,2,FALSE),VLOOKUP($A397,'NonXtal_SegEnds_Prot#'!$A:$AL,22,FALSE)+8,1)</f>
        <v>I</v>
      </c>
      <c r="Z397" s="90" t="str">
        <f>MID(VLOOKUP($A397,Seqs!$A:$B,2,FALSE),VLOOKUP($A397,'NonXtal_SegEnds_Prot#'!$A:$AL,22,FALSE)+9,1)</f>
        <v>S</v>
      </c>
      <c r="AA397" s="90" t="str">
        <f>MID(VLOOKUP($A397,Seqs!$A:$B,2,FALSE),VLOOKUP($A397,'NonXtal_SegEnds_Prot#'!$A:$AL,22,FALSE)+10,1)</f>
        <v>V</v>
      </c>
      <c r="AB397" s="64" t="str">
        <f>MID(VLOOKUP($A397,Seqs!$A:$B,2,FALSE),VLOOKUP($A397,'NonXtal_SegEnds_Prot#'!$A:$AL,28,FALSE)-4,1)</f>
        <v>G</v>
      </c>
      <c r="AC397" s="90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650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64" t="str">
        <f>MID(VLOOKUP($A398,Seqs!$A:$B,2,FALSE),VLOOKUP($A398,'NonXtal_SegEnds_Prot#'!A:AL,10,FALSE),1)</f>
        <v>R</v>
      </c>
      <c r="S398" s="90" t="str">
        <f>MID(VLOOKUP($A398,Seqs!$A:$B,2,FALSE),VLOOKUP($A398,'NonXtal_SegEnds_Prot#'!A:AL,10,FALSE)+6,1)</f>
        <v>I</v>
      </c>
      <c r="T398" s="90" t="str">
        <f>MID(VLOOKUP($A398,Seqs!$A:$B,2,FALSE),VLOOKUP($A398,'NonXtal_SegEnds_Prot#'!A:AL,10,FALSE)+7,1)</f>
        <v>I</v>
      </c>
      <c r="U398" s="90" t="str">
        <f>MID(VLOOKUP($A398,Seqs!$A:$B,2,FALSE),VLOOKUP($A398,'NonXtal_SegEnds_Prot#'!A:AL,10,FALSE)+8,1)</f>
        <v>I</v>
      </c>
      <c r="V398" s="90" t="str">
        <f>MID(VLOOKUP($A398,Seqs!$A:$B,2,FALSE),VLOOKUP($A398,'NonXtal_SegEnds_Prot#'!A:AL,10,FALSE)+9,1)</f>
        <v>T</v>
      </c>
      <c r="W398" s="64" t="str">
        <f>MID(VLOOKUP($A398,Seqs!$A:$B,2,FALSE),VLOOKUP($A398,'NonXtal_SegEnds_Prot#'!$A:$AL,22,FALSE)+6,1)</f>
        <v>L</v>
      </c>
      <c r="X398" s="90" t="str">
        <f>MID(VLOOKUP($A398,Seqs!$A:$B,2,FALSE),VLOOKUP($A398,'NonXtal_SegEnds_Prot#'!$A:$AL,22,FALSE)+7,1)</f>
        <v>L</v>
      </c>
      <c r="Y398" s="90" t="str">
        <f>MID(VLOOKUP($A398,Seqs!$A:$B,2,FALSE),VLOOKUP($A398,'NonXtal_SegEnds_Prot#'!$A:$AL,22,FALSE)+8,1)</f>
        <v>N</v>
      </c>
      <c r="Z398" s="90" t="str">
        <f>MID(VLOOKUP($A398,Seqs!$A:$B,2,FALSE),VLOOKUP($A398,'NonXtal_SegEnds_Prot#'!$A:$AL,22,FALSE)+9,1)</f>
        <v>F</v>
      </c>
      <c r="AA398" s="90" t="str">
        <f>MID(VLOOKUP($A398,Seqs!$A:$B,2,FALSE),VLOOKUP($A398,'NonXtal_SegEnds_Prot#'!$A:$AL,22,FALSE)+10,1)</f>
        <v>A</v>
      </c>
      <c r="AB398" s="64" t="str">
        <f>MID(VLOOKUP($A398,Seqs!$A:$B,2,FALSE),VLOOKUP($A398,'NonXtal_SegEnds_Prot#'!$A:$AL,28,FALSE)-4,1)</f>
        <v>G</v>
      </c>
      <c r="AC398" s="90" t="str">
        <f>MID(VLOOKUP($A398,Seqs!$A:$B,2,FALSE),VLOOKUP($A398,'NonXtal_SegEnds_Prot#'!$A:$AL,28,FALSE),1)</f>
        <v>F</v>
      </c>
    </row>
    <row r="399" spans="1:29" s="2" customFormat="1" x14ac:dyDescent="0.2">
      <c r="A399" s="2" t="s">
        <v>651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64" t="str">
        <f>MID(VLOOKUP($A399,Seqs!$A:$B,2,FALSE),VLOOKUP($A399,'NonXtal_SegEnds_Prot#'!A:AL,10,FALSE),1)</f>
        <v>R</v>
      </c>
      <c r="S399" s="90" t="str">
        <f>MID(VLOOKUP($A399,Seqs!$A:$B,2,FALSE),VLOOKUP($A399,'NonXtal_SegEnds_Prot#'!A:AL,10,FALSE)+6,1)</f>
        <v>E</v>
      </c>
      <c r="T399" s="90" t="str">
        <f>MID(VLOOKUP($A399,Seqs!$A:$B,2,FALSE),VLOOKUP($A399,'NonXtal_SegEnds_Prot#'!A:AL,10,FALSE)+7,1)</f>
        <v>I</v>
      </c>
      <c r="U399" s="90" t="str">
        <f>MID(VLOOKUP($A399,Seqs!$A:$B,2,FALSE),VLOOKUP($A399,'NonXtal_SegEnds_Prot#'!A:AL,10,FALSE)+8,1)</f>
        <v>L</v>
      </c>
      <c r="V399" s="90" t="str">
        <f>MID(VLOOKUP($A399,Seqs!$A:$B,2,FALSE),VLOOKUP($A399,'NonXtal_SegEnds_Prot#'!A:AL,10,FALSE)+9,1)</f>
        <v>V</v>
      </c>
      <c r="W399" s="64" t="str">
        <f>MID(VLOOKUP($A399,Seqs!$A:$B,2,FALSE),VLOOKUP($A399,'NonXtal_SegEnds_Prot#'!$A:$AL,22,FALSE)+6,1)</f>
        <v>F</v>
      </c>
      <c r="X399" s="90" t="str">
        <f>MID(VLOOKUP($A399,Seqs!$A:$B,2,FALSE),VLOOKUP($A399,'NonXtal_SegEnds_Prot#'!$A:$AL,22,FALSE)+7,1)</f>
        <v>L</v>
      </c>
      <c r="Y399" s="90" t="str">
        <f>MID(VLOOKUP($A399,Seqs!$A:$B,2,FALSE),VLOOKUP($A399,'NonXtal_SegEnds_Prot#'!$A:$AL,22,FALSE)+8,1)</f>
        <v>N</v>
      </c>
      <c r="Z399" s="90" t="str">
        <f>MID(VLOOKUP($A399,Seqs!$A:$B,2,FALSE),VLOOKUP($A399,'NonXtal_SegEnds_Prot#'!$A:$AL,22,FALSE)+9,1)</f>
        <v>L</v>
      </c>
      <c r="AA399" s="90" t="str">
        <f>MID(VLOOKUP($A399,Seqs!$A:$B,2,FALSE),VLOOKUP($A399,'NonXtal_SegEnds_Prot#'!$A:$AL,22,FALSE)+10,1)</f>
        <v>I</v>
      </c>
      <c r="AB399" s="64" t="str">
        <f>MID(VLOOKUP($A399,Seqs!$A:$B,2,FALSE),VLOOKUP($A399,'NonXtal_SegEnds_Prot#'!$A:$AL,28,FALSE)-4,1)</f>
        <v>F</v>
      </c>
      <c r="AC399" s="90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652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64" t="str">
        <f>MID(VLOOKUP($A400,Seqs!$A:$B,2,FALSE),VLOOKUP($A400,'NonXtal_SegEnds_Prot#'!A:AL,10,FALSE),1)</f>
        <v>R</v>
      </c>
      <c r="S400" s="90" t="str">
        <f>MID(VLOOKUP($A400,Seqs!$A:$B,2,FALSE),VLOOKUP($A400,'NonXtal_SegEnds_Prot#'!A:AL,10,FALSE)+6,1)</f>
        <v>L</v>
      </c>
      <c r="T400" s="90" t="str">
        <f>MID(VLOOKUP($A400,Seqs!$A:$B,2,FALSE),VLOOKUP($A400,'NonXtal_SegEnds_Prot#'!A:AL,10,FALSE)+7,1)</f>
        <v>I</v>
      </c>
      <c r="U400" s="90" t="str">
        <f>MID(VLOOKUP($A400,Seqs!$A:$B,2,FALSE),VLOOKUP($A400,'NonXtal_SegEnds_Prot#'!A:AL,10,FALSE)+8,1)</f>
        <v>F</v>
      </c>
      <c r="V400" s="90" t="str">
        <f>MID(VLOOKUP($A400,Seqs!$A:$B,2,FALSE),VLOOKUP($A400,'NonXtal_SegEnds_Prot#'!A:AL,10,FALSE)+9,1)</f>
        <v>G</v>
      </c>
      <c r="W400" s="64" t="str">
        <f>MID(VLOOKUP($A400,Seqs!$A:$B,2,FALSE),VLOOKUP($A400,'NonXtal_SegEnds_Prot#'!$A:$AL,22,FALSE)+6,1)</f>
        <v>F</v>
      </c>
      <c r="X400" s="90" t="str">
        <f>MID(VLOOKUP($A400,Seqs!$A:$B,2,FALSE),VLOOKUP($A400,'NonXtal_SegEnds_Prot#'!$A:$AL,22,FALSE)+7,1)</f>
        <v>L</v>
      </c>
      <c r="Y400" s="90" t="str">
        <f>MID(VLOOKUP($A400,Seqs!$A:$B,2,FALSE),VLOOKUP($A400,'NonXtal_SegEnds_Prot#'!$A:$AL,22,FALSE)+8,1)</f>
        <v>N</v>
      </c>
      <c r="Z400" s="90" t="str">
        <f>MID(VLOOKUP($A400,Seqs!$A:$B,2,FALSE),VLOOKUP($A400,'NonXtal_SegEnds_Prot#'!$A:$AL,22,FALSE)+9,1)</f>
        <v>I</v>
      </c>
      <c r="AA400" s="90" t="str">
        <f>MID(VLOOKUP($A400,Seqs!$A:$B,2,FALSE),VLOOKUP($A400,'NonXtal_SegEnds_Prot#'!$A:$AL,22,FALSE)+10,1)</f>
        <v>A</v>
      </c>
      <c r="AB400" s="64" t="str">
        <f>MID(VLOOKUP($A400,Seqs!$A:$B,2,FALSE),VLOOKUP($A400,'NonXtal_SegEnds_Prot#'!$A:$AL,28,FALSE)-4,1)</f>
        <v>F</v>
      </c>
      <c r="AC400" s="90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671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64" t="str">
        <f>MID(VLOOKUP($A401,Seqs!$A:$B,2,FALSE),VLOOKUP($A401,'NonXtal_SegEnds_Prot#'!A:AL,10,FALSE),1)</f>
        <v>R</v>
      </c>
      <c r="S401" s="90" t="str">
        <f>MID(VLOOKUP($A401,Seqs!$A:$B,2,FALSE),VLOOKUP($A401,'NonXtal_SegEnds_Prot#'!A:AL,10,FALSE)+6,1)</f>
        <v>L</v>
      </c>
      <c r="T401" s="90" t="str">
        <f>MID(VLOOKUP($A401,Seqs!$A:$B,2,FALSE),VLOOKUP($A401,'NonXtal_SegEnds_Prot#'!A:AL,10,FALSE)+7,1)</f>
        <v>I</v>
      </c>
      <c r="U401" s="90" t="str">
        <f>MID(VLOOKUP($A401,Seqs!$A:$B,2,FALSE),VLOOKUP($A401,'NonXtal_SegEnds_Prot#'!A:AL,10,FALSE)+8,1)</f>
        <v>I</v>
      </c>
      <c r="V401" s="90" t="str">
        <f>MID(VLOOKUP($A401,Seqs!$A:$B,2,FALSE),VLOOKUP($A401,'NonXtal_SegEnds_Prot#'!A:AL,10,FALSE)+9,1)</f>
        <v>L</v>
      </c>
      <c r="W401" s="64" t="str">
        <f>MID(VLOOKUP($A401,Seqs!$A:$B,2,FALSE),VLOOKUP($A401,'NonXtal_SegEnds_Prot#'!$A:$AL,22,FALSE)+6,1)</f>
        <v>L</v>
      </c>
      <c r="X401" s="90" t="str">
        <f>MID(VLOOKUP($A401,Seqs!$A:$B,2,FALSE),VLOOKUP($A401,'NonXtal_SegEnds_Prot#'!$A:$AL,22,FALSE)+7,1)</f>
        <v>L</v>
      </c>
      <c r="Y401" s="90" t="str">
        <f>MID(VLOOKUP($A401,Seqs!$A:$B,2,FALSE),VLOOKUP($A401,'NonXtal_SegEnds_Prot#'!$A:$AL,22,FALSE)+8,1)</f>
        <v>L</v>
      </c>
      <c r="Z401" s="90" t="str">
        <f>MID(VLOOKUP($A401,Seqs!$A:$B,2,FALSE),VLOOKUP($A401,'NonXtal_SegEnds_Prot#'!$A:$AL,22,FALSE)+9,1)</f>
        <v>T</v>
      </c>
      <c r="AA401" s="90" t="str">
        <f>MID(VLOOKUP($A401,Seqs!$A:$B,2,FALSE),VLOOKUP($A401,'NonXtal_SegEnds_Prot#'!$A:$AL,22,FALSE)+10,1)</f>
        <v>V</v>
      </c>
      <c r="AB401" s="64" t="str">
        <f>MID(VLOOKUP($A401,Seqs!$A:$B,2,FALSE),VLOOKUP($A401,'NonXtal_SegEnds_Prot#'!$A:$AL,28,FALSE)-4,1)</f>
        <v>G</v>
      </c>
      <c r="AC401" s="90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673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64" t="str">
        <f>MID(VLOOKUP($A402,Seqs!$A:$B,2,FALSE),VLOOKUP($A402,'NonXtal_SegEnds_Prot#'!A:AL,10,FALSE),1)</f>
        <v>R</v>
      </c>
      <c r="S402" s="90" t="str">
        <f>MID(VLOOKUP($A402,Seqs!$A:$B,2,FALSE),VLOOKUP($A402,'NonXtal_SegEnds_Prot#'!A:AL,10,FALSE)+6,1)</f>
        <v>V</v>
      </c>
      <c r="T402" s="90" t="str">
        <f>MID(VLOOKUP($A402,Seqs!$A:$B,2,FALSE),VLOOKUP($A402,'NonXtal_SegEnds_Prot#'!A:AL,10,FALSE)+7,1)</f>
        <v>M</v>
      </c>
      <c r="U402" s="90" t="str">
        <f>MID(VLOOKUP($A402,Seqs!$A:$B,2,FALSE),VLOOKUP($A402,'NonXtal_SegEnds_Prot#'!A:AL,10,FALSE)+8,1)</f>
        <v>V</v>
      </c>
      <c r="V402" s="90" t="str">
        <f>MID(VLOOKUP($A402,Seqs!$A:$B,2,FALSE),VLOOKUP($A402,'NonXtal_SegEnds_Prot#'!A:AL,10,FALSE)+9,1)</f>
        <v>V</v>
      </c>
      <c r="W402" s="64" t="str">
        <f>MID(VLOOKUP($A402,Seqs!$A:$B,2,FALSE),VLOOKUP($A402,'NonXtal_SegEnds_Prot#'!$A:$AL,22,FALSE)+6,1)</f>
        <v>L</v>
      </c>
      <c r="X402" s="90" t="str">
        <f>MID(VLOOKUP($A402,Seqs!$A:$B,2,FALSE),VLOOKUP($A402,'NonXtal_SegEnds_Prot#'!$A:$AL,22,FALSE)+7,1)</f>
        <v>L</v>
      </c>
      <c r="Y402" s="90" t="str">
        <f>MID(VLOOKUP($A402,Seqs!$A:$B,2,FALSE),VLOOKUP($A402,'NonXtal_SegEnds_Prot#'!$A:$AL,22,FALSE)+8,1)</f>
        <v>V</v>
      </c>
      <c r="Z402" s="90" t="str">
        <f>MID(VLOOKUP($A402,Seqs!$A:$B,2,FALSE),VLOOKUP($A402,'NonXtal_SegEnds_Prot#'!$A:$AL,22,FALSE)+9,1)</f>
        <v>S</v>
      </c>
      <c r="AA402" s="90" t="str">
        <f>MID(VLOOKUP($A402,Seqs!$A:$B,2,FALSE),VLOOKUP($A402,'NonXtal_SegEnds_Prot#'!$A:$AL,22,FALSE)+10,1)</f>
        <v>L</v>
      </c>
      <c r="AB402" s="64" t="str">
        <f>MID(VLOOKUP($A402,Seqs!$A:$B,2,FALSE),VLOOKUP($A402,'NonXtal_SegEnds_Prot#'!$A:$AL,28,FALSE)-4,1)</f>
        <v>F</v>
      </c>
      <c r="AC402" s="90" t="str">
        <f>MID(VLOOKUP($A402,Seqs!$A:$B,2,FALSE),VLOOKUP($A402,'NonXtal_SegEnds_Prot#'!$A:$AL,28,FALSE),1)</f>
        <v>P</v>
      </c>
    </row>
    <row r="403" spans="1:29" s="2" customFormat="1" x14ac:dyDescent="0.2">
      <c r="A403" s="2" t="s">
        <v>668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64" t="str">
        <f>MID(VLOOKUP($A403,Seqs!$A:$B,2,FALSE),VLOOKUP($A403,'NonXtal_SegEnds_Prot#'!A:AL,10,FALSE),1)</f>
        <v>R</v>
      </c>
      <c r="S403" s="90" t="str">
        <f>MID(VLOOKUP($A403,Seqs!$A:$B,2,FALSE),VLOOKUP($A403,'NonXtal_SegEnds_Prot#'!A:AL,10,FALSE)+6,1)</f>
        <v>F</v>
      </c>
      <c r="T403" s="90" t="str">
        <f>MID(VLOOKUP($A403,Seqs!$A:$B,2,FALSE),VLOOKUP($A403,'NonXtal_SegEnds_Prot#'!A:AL,10,FALSE)+7,1)</f>
        <v>I</v>
      </c>
      <c r="U403" s="90" t="str">
        <f>MID(VLOOKUP($A403,Seqs!$A:$B,2,FALSE),VLOOKUP($A403,'NonXtal_SegEnds_Prot#'!A:AL,10,FALSE)+8,1)</f>
        <v>F</v>
      </c>
      <c r="V403" s="90" t="str">
        <f>MID(VLOOKUP($A403,Seqs!$A:$B,2,FALSE),VLOOKUP($A403,'NonXtal_SegEnds_Prot#'!A:AL,10,FALSE)+9,1)</f>
        <v>Y</v>
      </c>
      <c r="W403" s="64" t="str">
        <f>MID(VLOOKUP($A403,Seqs!$A:$B,2,FALSE),VLOOKUP($A403,'NonXtal_SegEnds_Prot#'!$A:$AL,22,FALSE)+6,1)</f>
        <v>S</v>
      </c>
      <c r="X403" s="90" t="str">
        <f>MID(VLOOKUP($A403,Seqs!$A:$B,2,FALSE),VLOOKUP($A403,'NonXtal_SegEnds_Prot#'!$A:$AL,22,FALSE)+7,1)</f>
        <v>M</v>
      </c>
      <c r="Y403" s="90" t="str">
        <f>MID(VLOOKUP($A403,Seqs!$A:$B,2,FALSE),VLOOKUP($A403,'NonXtal_SegEnds_Prot#'!$A:$AL,22,FALSE)+8,1)</f>
        <v>I</v>
      </c>
      <c r="Z403" s="90" t="str">
        <f>MID(VLOOKUP($A403,Seqs!$A:$B,2,FALSE),VLOOKUP($A403,'NonXtal_SegEnds_Prot#'!$A:$AL,22,FALSE)+9,1)</f>
        <v>C</v>
      </c>
      <c r="AA403" s="90" t="str">
        <f>MID(VLOOKUP($A403,Seqs!$A:$B,2,FALSE),VLOOKUP($A403,'NonXtal_SegEnds_Prot#'!$A:$AL,22,FALSE)+10,1)</f>
        <v>V</v>
      </c>
      <c r="AB403" s="64" t="str">
        <f>MID(VLOOKUP($A403,Seqs!$A:$B,2,FALSE),VLOOKUP($A403,'NonXtal_SegEnds_Prot#'!$A:$AL,28,FALSE)-4,1)</f>
        <v>E</v>
      </c>
      <c r="AC403" s="90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659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64" t="str">
        <f>MID(VLOOKUP($A404,Seqs!$A:$B,2,FALSE),VLOOKUP($A404,'NonXtal_SegEnds_Prot#'!A:AL,10,FALSE),1)</f>
        <v>R</v>
      </c>
      <c r="S404" s="90" t="str">
        <f>MID(VLOOKUP($A404,Seqs!$A:$B,2,FALSE),VLOOKUP($A404,'NonXtal_SegEnds_Prot#'!A:AL,10,FALSE)+6,1)</f>
        <v>L</v>
      </c>
      <c r="T404" s="90" t="str">
        <f>MID(VLOOKUP($A404,Seqs!$A:$B,2,FALSE),VLOOKUP($A404,'NonXtal_SegEnds_Prot#'!A:AL,10,FALSE)+7,1)</f>
        <v>M</v>
      </c>
      <c r="U404" s="90" t="str">
        <f>MID(VLOOKUP($A404,Seqs!$A:$B,2,FALSE),VLOOKUP($A404,'NonXtal_SegEnds_Prot#'!A:AL,10,FALSE)+8,1)</f>
        <v>M</v>
      </c>
      <c r="V404" s="90" t="str">
        <f>MID(VLOOKUP($A404,Seqs!$A:$B,2,FALSE),VLOOKUP($A404,'NonXtal_SegEnds_Prot#'!A:AL,10,FALSE)+9,1)</f>
        <v>L</v>
      </c>
      <c r="W404" s="64" t="str">
        <f>MID(VLOOKUP($A404,Seqs!$A:$B,2,FALSE),VLOOKUP($A404,'NonXtal_SegEnds_Prot#'!$A:$AL,22,FALSE)+6,1)</f>
        <v>F</v>
      </c>
      <c r="X404" s="90" t="str">
        <f>MID(VLOOKUP($A404,Seqs!$A:$B,2,FALSE),VLOOKUP($A404,'NonXtal_SegEnds_Prot#'!$A:$AL,22,FALSE)+7,1)</f>
        <v>S</v>
      </c>
      <c r="Y404" s="90" t="str">
        <f>MID(VLOOKUP($A404,Seqs!$A:$B,2,FALSE),VLOOKUP($A404,'NonXtal_SegEnds_Prot#'!$A:$AL,22,FALSE)+8,1)</f>
        <v>H</v>
      </c>
      <c r="Z404" s="90" t="str">
        <f>MID(VLOOKUP($A404,Seqs!$A:$B,2,FALSE),VLOOKUP($A404,'NonXtal_SegEnds_Prot#'!$A:$AL,22,FALSE)+9,1)</f>
        <v>S</v>
      </c>
      <c r="AA404" s="90" t="str">
        <f>MID(VLOOKUP($A404,Seqs!$A:$B,2,FALSE),VLOOKUP($A404,'NonXtal_SegEnds_Prot#'!$A:$AL,22,FALSE)+10,1)</f>
        <v>M</v>
      </c>
      <c r="AB404" s="64" t="str">
        <f>MID(VLOOKUP($A404,Seqs!$A:$B,2,FALSE),VLOOKUP($A404,'NonXtal_SegEnds_Prot#'!$A:$AL,28,FALSE)-4,1)</f>
        <v>G</v>
      </c>
      <c r="AC404" s="90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660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64" t="str">
        <f>MID(VLOOKUP($A405,Seqs!$A:$B,2,FALSE),VLOOKUP($A405,'NonXtal_SegEnds_Prot#'!A:AL,10,FALSE),1)</f>
        <v>R</v>
      </c>
      <c r="S405" s="90" t="str">
        <f>MID(VLOOKUP($A405,Seqs!$A:$B,2,FALSE),VLOOKUP($A405,'NonXtal_SegEnds_Prot#'!A:AL,10,FALSE)+6,1)</f>
        <v>W</v>
      </c>
      <c r="T405" s="90" t="str">
        <f>MID(VLOOKUP($A405,Seqs!$A:$B,2,FALSE),VLOOKUP($A405,'NonXtal_SegEnds_Prot#'!A:AL,10,FALSE)+7,1)</f>
        <v>M</v>
      </c>
      <c r="U405" s="90" t="str">
        <f>MID(VLOOKUP($A405,Seqs!$A:$B,2,FALSE),VLOOKUP($A405,'NonXtal_SegEnds_Prot#'!A:AL,10,FALSE)+8,1)</f>
        <v>M</v>
      </c>
      <c r="V405" s="90" t="str">
        <f>MID(VLOOKUP($A405,Seqs!$A:$B,2,FALSE),VLOOKUP($A405,'NonXtal_SegEnds_Prot#'!A:AL,10,FALSE)+9,1)</f>
        <v>L</v>
      </c>
      <c r="W405" s="64" t="str">
        <f>MID(VLOOKUP($A405,Seqs!$A:$B,2,FALSE),VLOOKUP($A405,'NonXtal_SegEnds_Prot#'!$A:$AL,22,FALSE)+6,1)</f>
        <v>L</v>
      </c>
      <c r="X405" s="90" t="str">
        <f>MID(VLOOKUP($A405,Seqs!$A:$B,2,FALSE),VLOOKUP($A405,'NonXtal_SegEnds_Prot#'!$A:$AL,22,FALSE)+7,1)</f>
        <v>S</v>
      </c>
      <c r="Y405" s="90" t="str">
        <f>MID(VLOOKUP($A405,Seqs!$A:$B,2,FALSE),VLOOKUP($A405,'NonXtal_SegEnds_Prot#'!$A:$AL,22,FALSE)+8,1)</f>
        <v>F</v>
      </c>
      <c r="Z405" s="90" t="str">
        <f>MID(VLOOKUP($A405,Seqs!$A:$B,2,FALSE),VLOOKUP($A405,'NonXtal_SegEnds_Prot#'!$A:$AL,22,FALSE)+9,1)</f>
        <v>S</v>
      </c>
      <c r="AA405" s="90" t="str">
        <f>MID(VLOOKUP($A405,Seqs!$A:$B,2,FALSE),VLOOKUP($A405,'NonXtal_SegEnds_Prot#'!$A:$AL,22,FALSE)+10,1)</f>
        <v>F</v>
      </c>
      <c r="AB405" s="64" t="str">
        <f>MID(VLOOKUP($A405,Seqs!$A:$B,2,FALSE),VLOOKUP($A405,'NonXtal_SegEnds_Prot#'!$A:$AL,28,FALSE)-4,1)</f>
        <v>G</v>
      </c>
      <c r="AC405" s="90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653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64" t="str">
        <f>MID(VLOOKUP($A406,Seqs!$A:$B,2,FALSE),VLOOKUP($A406,'NonXtal_SegEnds_Prot#'!A:AL,10,FALSE),1)</f>
        <v>R</v>
      </c>
      <c r="S406" s="90" t="str">
        <f>MID(VLOOKUP($A406,Seqs!$A:$B,2,FALSE),VLOOKUP($A406,'NonXtal_SegEnds_Prot#'!A:AL,10,FALSE)+6,1)</f>
        <v>A</v>
      </c>
      <c r="T406" s="90" t="str">
        <f>MID(VLOOKUP($A406,Seqs!$A:$B,2,FALSE),VLOOKUP($A406,'NonXtal_SegEnds_Prot#'!A:AL,10,FALSE)+7,1)</f>
        <v>S</v>
      </c>
      <c r="U406" s="90" t="str">
        <f>MID(VLOOKUP($A406,Seqs!$A:$B,2,FALSE),VLOOKUP($A406,'NonXtal_SegEnds_Prot#'!A:AL,10,FALSE)+8,1)</f>
        <v>M</v>
      </c>
      <c r="V406" s="90" t="str">
        <f>MID(VLOOKUP($A406,Seqs!$A:$B,2,FALSE),VLOOKUP($A406,'NonXtal_SegEnds_Prot#'!A:AL,10,FALSE)+9,1)</f>
        <v>L</v>
      </c>
      <c r="W406" s="64" t="str">
        <f>MID(VLOOKUP($A406,Seqs!$A:$B,2,FALSE),VLOOKUP($A406,'NonXtal_SegEnds_Prot#'!$A:$AL,22,FALSE)+6,1)</f>
        <v>C</v>
      </c>
      <c r="X406" s="90" t="str">
        <f>MID(VLOOKUP($A406,Seqs!$A:$B,2,FALSE),VLOOKUP($A406,'NonXtal_SegEnds_Prot#'!$A:$AL,22,FALSE)+7,1)</f>
        <v>V</v>
      </c>
      <c r="Y406" s="90" t="str">
        <f>MID(VLOOKUP($A406,Seqs!$A:$B,2,FALSE),VLOOKUP($A406,'NonXtal_SegEnds_Prot#'!$A:$AL,22,FALSE)+8,1)</f>
        <v>T</v>
      </c>
      <c r="Z406" s="90" t="str">
        <f>MID(VLOOKUP($A406,Seqs!$A:$B,2,FALSE),VLOOKUP($A406,'NonXtal_SegEnds_Prot#'!$A:$AL,22,FALSE)+9,1)</f>
        <v>I</v>
      </c>
      <c r="AA406" s="90" t="str">
        <f>MID(VLOOKUP($A406,Seqs!$A:$B,2,FALSE),VLOOKUP($A406,'NonXtal_SegEnds_Prot#'!$A:$AL,22,FALSE)+10,1)</f>
        <v>I</v>
      </c>
      <c r="AB406" s="64" t="str">
        <f>MID(VLOOKUP($A406,Seqs!$A:$B,2,FALSE),VLOOKUP($A406,'NonXtal_SegEnds_Prot#'!$A:$AL,28,FALSE)-4,1)</f>
        <v>A</v>
      </c>
      <c r="AC406" s="90" t="str">
        <f>MID(VLOOKUP($A406,Seqs!$A:$B,2,FALSE),VLOOKUP($A406,'NonXtal_SegEnds_Prot#'!$A:$AL,28,FALSE),1)</f>
        <v>P</v>
      </c>
    </row>
    <row r="407" spans="1:29" s="2" customFormat="1" x14ac:dyDescent="0.2">
      <c r="R407" s="64"/>
      <c r="S407" s="90"/>
      <c r="T407" s="90"/>
      <c r="U407" s="90"/>
      <c r="V407" s="90"/>
      <c r="W407" s="64"/>
      <c r="X407" s="90"/>
      <c r="Y407" s="90"/>
      <c r="Z407" s="90"/>
      <c r="AB407" s="35"/>
    </row>
    <row r="408" spans="1:29" s="2" customFormat="1" x14ac:dyDescent="0.2">
      <c r="R408" s="64"/>
      <c r="S408" s="90"/>
      <c r="T408" s="90"/>
      <c r="U408" s="90"/>
      <c r="V408" s="90"/>
      <c r="W408" s="64"/>
      <c r="X408" s="90"/>
      <c r="Y408" s="90"/>
      <c r="Z408" s="90"/>
      <c r="AB408" s="35"/>
    </row>
    <row r="409" spans="1:29" s="2" customFormat="1" x14ac:dyDescent="0.2">
      <c r="R409" s="64"/>
      <c r="S409" s="90"/>
      <c r="T409" s="90"/>
      <c r="U409" s="90"/>
      <c r="V409" s="90"/>
      <c r="W409" s="64"/>
      <c r="X409" s="90"/>
      <c r="Y409" s="90"/>
      <c r="Z409" s="90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6" priority="4" operator="equal">
      <formula>"P"</formula>
    </cfRule>
  </conditionalFormatting>
  <conditionalFormatting sqref="X1:X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B2:AC406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ColWidth="10.83203125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5">
      <c r="A1" s="11" t="s">
        <v>205</v>
      </c>
      <c r="B1" s="11" t="s">
        <v>1444</v>
      </c>
      <c r="C1" s="67" t="s">
        <v>1445</v>
      </c>
      <c r="D1" s="66" t="s">
        <v>291</v>
      </c>
      <c r="E1" s="62" t="s">
        <v>1443</v>
      </c>
      <c r="F1" s="62" t="s">
        <v>11</v>
      </c>
      <c r="G1" s="66" t="s">
        <v>1427</v>
      </c>
      <c r="H1" s="66" t="s">
        <v>17</v>
      </c>
      <c r="I1" s="66" t="s">
        <v>1429</v>
      </c>
      <c r="J1" s="66" t="s">
        <v>25</v>
      </c>
      <c r="K1" s="66" t="s">
        <v>1428</v>
      </c>
      <c r="L1" s="66" t="s">
        <v>31</v>
      </c>
      <c r="M1" s="66" t="s">
        <v>1430</v>
      </c>
      <c r="N1" s="66" t="s">
        <v>39</v>
      </c>
      <c r="O1" s="66" t="s">
        <v>44</v>
      </c>
      <c r="P1" s="66" t="s">
        <v>48</v>
      </c>
      <c r="Q1" s="66" t="s">
        <v>1426</v>
      </c>
      <c r="R1" s="62" t="s">
        <v>1266</v>
      </c>
      <c r="S1" s="11" t="s">
        <v>1283</v>
      </c>
      <c r="T1" s="11" t="s">
        <v>1268</v>
      </c>
      <c r="U1" s="11" t="s">
        <v>1285</v>
      </c>
      <c r="V1" s="11" t="s">
        <v>1270</v>
      </c>
      <c r="W1" s="11" t="s">
        <v>1298</v>
      </c>
      <c r="X1" s="11" t="s">
        <v>1272</v>
      </c>
      <c r="Y1" s="11" t="s">
        <v>1301</v>
      </c>
      <c r="Z1" s="11" t="s">
        <v>1274</v>
      </c>
      <c r="AA1" s="11" t="s">
        <v>1276</v>
      </c>
      <c r="AB1" s="11" t="s">
        <v>1278</v>
      </c>
      <c r="AC1" s="11" t="s">
        <v>1280</v>
      </c>
      <c r="AD1" s="62" t="s">
        <v>1267</v>
      </c>
      <c r="AE1" s="11" t="s">
        <v>1284</v>
      </c>
      <c r="AF1" s="11" t="s">
        <v>1269</v>
      </c>
      <c r="AG1" s="11" t="s">
        <v>1286</v>
      </c>
      <c r="AH1" s="11" t="s">
        <v>1271</v>
      </c>
      <c r="AI1" s="11" t="s">
        <v>1299</v>
      </c>
      <c r="AJ1" s="11" t="s">
        <v>1273</v>
      </c>
      <c r="AK1" s="11" t="s">
        <v>1302</v>
      </c>
      <c r="AL1" s="11" t="s">
        <v>1275</v>
      </c>
      <c r="AM1" s="11" t="s">
        <v>1277</v>
      </c>
      <c r="AN1" s="11" t="s">
        <v>1279</v>
      </c>
      <c r="AO1" s="11" t="s">
        <v>1281</v>
      </c>
      <c r="AP1" s="62" t="s">
        <v>1431</v>
      </c>
      <c r="AQ1" s="66" t="s">
        <v>1432</v>
      </c>
      <c r="AR1" s="66" t="s">
        <v>1433</v>
      </c>
      <c r="AS1" s="66" t="s">
        <v>1434</v>
      </c>
      <c r="AT1" s="66" t="s">
        <v>1435</v>
      </c>
      <c r="AU1" s="66" t="s">
        <v>1436</v>
      </c>
      <c r="AV1" s="66" t="s">
        <v>1437</v>
      </c>
      <c r="AW1" s="66" t="s">
        <v>1438</v>
      </c>
      <c r="AX1" s="66" t="s">
        <v>1439</v>
      </c>
      <c r="AY1" s="66" t="s">
        <v>1440</v>
      </c>
      <c r="AZ1" s="66" t="s">
        <v>1441</v>
      </c>
      <c r="BA1" s="66" t="s">
        <v>1442</v>
      </c>
    </row>
    <row r="2" spans="1:53" x14ac:dyDescent="0.25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65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5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65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5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65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5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65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5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65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5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65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5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65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5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65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5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65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5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65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5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65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5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65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5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65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5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65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5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65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5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65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5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65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5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65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5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65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5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65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5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65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5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65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5">
      <c r="A24" s="1" t="str">
        <f>'NonXtal_SegEnds_Prot#'!A226</f>
        <v>cnr1_human</v>
      </c>
      <c r="B24" s="1" t="str">
        <f t="shared" si="0"/>
        <v>PSQQLAIAVLSLTLGTFTVLENLLVLCVILHSRPSYHFIGSLAVADLLGSVIFVYSFIDFHVSRNVFLFKLGGVTASFTASVGSLFLTAIDRYISIHRRPKAVVAFCLMWTIAIVIAVLPLLGDETYLMFWIGVTSVLLLFIVYAYMYILWKAHSHAVRMIQRGPDQARMDIRLAKTLVLILVVLIICWGPLLAIMVYDVFGKLIKTVFAFCSMLCLLNSTVNPIIYALRSKDLRHAFRSMFP</v>
      </c>
      <c r="C24" s="65" t="str">
        <f>IF(ISERROR(MATCH(A24,'Xtal_SegEnds_Prot#'!B:B, 0)), "NoXtal", "Xtal")</f>
        <v>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PSQQLAIAVLSLTLGTFTVLENLLVLCVILHS</v>
      </c>
      <c r="G24" s="4" t="str">
        <f t="shared" si="2"/>
        <v>RSLR</v>
      </c>
      <c r="H24" s="4" t="str">
        <f t="shared" si="3"/>
        <v>RPSYHFIGSLAVADLLGSVIFVYSFIDFHV</v>
      </c>
      <c r="I24" s="4" t="str">
        <f t="shared" si="4"/>
        <v/>
      </c>
      <c r="J24" s="4" t="str">
        <f t="shared" si="5"/>
        <v>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KLIKTVFAFCSMLCLLNSTVNPIIYALR</v>
      </c>
      <c r="Q24" s="4" t="str">
        <f t="shared" si="12"/>
        <v>SKDLRHAFRSMFP</v>
      </c>
      <c r="R24" s="5">
        <f>VLOOKUP($A24,'NonXtal_SegEnds_Prot#'!$A:$AL,3,FALSE)</f>
        <v>113</v>
      </c>
      <c r="S24" s="5">
        <f>VLOOKUP($A24,'NonXtal_SegEnds_Prot#'!$A:$AL,6,FALSE)</f>
        <v>145</v>
      </c>
      <c r="T24" s="5">
        <f>VLOOKUP($A24,'NonXtal_SegEnds_Prot#'!$A:$AL,9,FALSE)</f>
        <v>150</v>
      </c>
      <c r="U24" s="5" t="str">
        <f>VLOOKUP($A24,'NonXtal_SegEnds_Prot#'!$A:$AL,12,FALSE)</f>
        <v>-</v>
      </c>
      <c r="V24" s="5">
        <f>VLOOKUP($A24,'NonXtal_SegEnds_Prot#'!$A:$AL,15,FALSE)</f>
        <v>185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373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31</v>
      </c>
      <c r="AQ24" s="4">
        <f t="shared" si="14"/>
        <v>3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27</v>
      </c>
      <c r="BA24" s="4">
        <f t="shared" si="24"/>
        <v>12</v>
      </c>
    </row>
    <row r="25" spans="1:53" x14ac:dyDescent="0.25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65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5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65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5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65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5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65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5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65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5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65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5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65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5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65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5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65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5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65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5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65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5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65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5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65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5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EAEHQDMHSYIAAFGAVTGLCTLFTLATFVADRYPAVILFYVNACFFVGSIGWLAQFLSCVIIFVIVYYALMAGVVWFVVLTYAWHTSFKALGTLSGKTSYFHLLTWSLPFVLTVAILAVYRYRAGFVLAPIGLVLIVGGYFLIRGVMTLFSIKSNHSKINETMLRLGIFGFLAFGFVLITFSCHFYDFFNQAEWERSFRDYVLCQANVTILLVEKINLFAMFGTGIAMSTWVWTKATLLIWRRTWCRLT</v>
      </c>
      <c r="C38" s="65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SKINETMLRLGIFGFLAFGFVLITFSCHFYDFFNQAEWERSFRDYVLCQANVTI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496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53</v>
      </c>
      <c r="AZ38" s="4">
        <f t="shared" si="23"/>
        <v>22</v>
      </c>
      <c r="BA38" s="4">
        <f t="shared" si="24"/>
        <v>15</v>
      </c>
    </row>
    <row r="39" spans="1:53" x14ac:dyDescent="0.25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65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5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65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5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65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5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65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5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65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5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65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5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65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5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65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5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65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5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65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5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65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5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65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5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65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5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65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5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65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5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65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5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65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5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65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5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65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5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65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5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65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5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65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5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65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5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65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5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65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5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65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5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65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5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65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5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65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5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65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5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65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5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65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5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65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5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65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5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65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5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65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5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65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5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65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5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65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5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65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5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65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5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65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5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65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5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65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5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65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5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65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5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65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5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65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5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65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5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65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5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65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5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65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5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65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5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65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5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65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5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65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5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65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5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65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5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65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5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65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5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65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5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65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5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65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5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65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5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65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5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65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5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65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5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65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5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65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5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65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5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65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5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65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5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65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5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65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5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65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5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65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5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65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5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65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5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65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5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65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5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65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5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65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5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65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5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65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5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65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5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65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5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65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5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65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5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65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5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65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5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65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5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65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5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65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5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65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5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65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5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65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5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65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5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65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5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65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5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65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5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65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5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65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5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65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5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65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5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65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5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65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5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65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5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65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5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65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5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65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5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65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5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65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5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65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5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65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5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65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5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65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5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65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5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65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5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65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5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65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5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65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5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65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5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65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5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65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5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65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5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65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5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65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5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65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5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65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5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65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5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65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5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65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5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65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5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65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5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65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5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65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5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65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5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65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5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65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5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65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5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65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5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65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5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65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5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65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5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65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5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65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5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65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5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65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5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65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5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65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5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65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5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65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5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65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5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65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5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65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5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65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5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65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5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65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5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65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5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65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5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65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5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65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5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65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5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65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5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65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65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65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65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65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65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65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65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65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65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65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65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65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65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65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65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65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65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65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65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65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65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65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65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65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65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65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65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65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65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65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65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65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65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65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65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65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65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GPQKTAVAVLCTLLGLLSALENVAVLYLILSSRKPSYLFIGSLAGADFLASVVFACSFVNFHVGVDSKAVFLLKIGSVTMTFTASVGSLLLTAIDRYLCLRYRGRALVTLGIMWVLSALVSYLPLMGPNDYLLSWLLFIAFLFSGIIYTYGHVLWKAHQHVASLSGVPGMARMRLDVRLAKTLGLVLAVLLICWFPVLALMAHSLATVKKAFAFCSMLCLINSMVNPVIYALRSGEIRSSAHHCLA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65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GPQKTAVAVLCTLLGLLSALENVAVLYLILSS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30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31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65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65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65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65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65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65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65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65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65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65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65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65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65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65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65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65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65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65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65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65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65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65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65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65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65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65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65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65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65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65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65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65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65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65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65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65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65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65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65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65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65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65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65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65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65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65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65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65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65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65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65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65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65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65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65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65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65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65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65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65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65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65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65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65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65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65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65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65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65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65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65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65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65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65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65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65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65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65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65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65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65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65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65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65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65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65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65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65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65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65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65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65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65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65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65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65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65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65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65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65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65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65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65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65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65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65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65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65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65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65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65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65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65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65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65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65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65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65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65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65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65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65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65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65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65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65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65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65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65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65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65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65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65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65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65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65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65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65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65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65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65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65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65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65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65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65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65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65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65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65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65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65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PEELRFSRTWIGIWSVLCCASTLFTVLTYLVDYPERPIIFLSGCYTAVAVAYIAGFEGCTILFMMLYFFSMASSIWWVILSLTWFLAAGMKWGIEANSQYFHLAAWAVPAIKTITILALVDALRGFVLAPLFVYLFIGTSFLLAGFVSLFRIRTIMEKLEKLMVRIGVFSVLYTVPATIVIACYFYEQAFRDQWERSWVAQSCKSYAIPCFTVFMIKYLMTLIVGITSGFWIWSGKTLNSWRKFYTRLT</v>
      </c>
      <c r="C394" s="65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EKLEKLMVRIGVFSVLYTVPATIVIACYFYEQAFRDQWERSWVAQSCKSYAIPC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581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53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QDERAFTVFWIGLWSVLCFVSTFATVSTFLIDYPERPIIFLSACYLFVSVGYLVRLALCTVVFLLVYFFGMASSIWWVILSLTWFLAAGMKWGIAGYSQYFHLAAWLVPSVKSIAVLALLDNLRGFVLAPLVIYLFIGTMFLLAGFVSLFRIRSVIHKLEKLMIRLGLFTVLYTVPAAVVVACLFYEQHNRPRWEATHNCPCLRDLQPDQYAVFMLKYFMCLVVGITSGVWVWSGKTLESWRSLCTRCC</v>
      </c>
      <c r="C395" s="65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HKLEKLMIRLGLFTVLYTVPAAVVVACLFYEQHNRPRWEATHNCPCLRDLQPDQ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577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53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EEERRFARLWVGVWSVLCCASTLFTVLTYLVDYPERPIIFLSGCYFMVAVAHVAGFEGCTILFMVLYFFGMASSIWWVILSLTWFLAAGMKWGIEANSQYFHLAAWAVPAVKTITILAMVDALRGFVLAPLFVYLFIGTSFLLAGFVSLFRIRTIMEKLEKLMVRIGVFSVLYTVPATIVLACYFYEQAFREHWERTWLLQTCKSYAVPCFTVFMIKYLMTMIVGITTGFWIWSGKTLQSWRRFYHRLS</v>
      </c>
      <c r="C396" s="65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EKLEKLMVRIGVFSVLYTVPATIVLACYFYEQAFREHWERTWLLQTCKSYAVPC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515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53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QEETRFARLWILTWSVLCCASTFFTVTTYLVDYPERPIIFLSGCYTMVSVAYIAGFEGCTILFMMLYFFSMASSIWWVILSLTWFLAAGMKWGIEANSQYFHLAAWAVPAVKTITILAMLDPLRGFVLAPLFVYLFIGTSFLLAGFVSLFRIRTIMEKLERLMVRIGVFSVLYTVPATIVIACYFYEQAFREHWERSWVSQHCKSLAIPCFTVYMIKYLMTLIVGITSGFWIWSGKTLHSWRKFYTRLT</v>
      </c>
      <c r="C397" s="65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EKLERLMVRIGVFSVLYTVPATIVIACYFYEQAFREHWERSWVSQHCKSLAIPC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506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53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ADERTFATFWIGLWSVLCFISTSTTVATFLIDYPERPIIFLSACYLCVSLGFLVRLALCTIVFLLVYFFGMASSIWWVILSLTWFLAAGMKWGIAGYAQYFHLAAWLIPSVKSITALALLNSLRGFVLGPLVLYLLVGTLFLLAGFVSLFRIRSVIDKLEKLMIRIGIFTLLYTVPASIVVACYLYEQHYRESWEAALTCACPGHDTGQPYWVLMLKYFMCLVVGITSGVWIWSGKTVESWRRFTSRCC</v>
      </c>
      <c r="C398" s="65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DKLEKLMIRIGIFTLLYTVPASIVVACYLYEQHYRESWEAALTCACPGHDTGQP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494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53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RRDKDFALVWMAVWSALCFFSTAFTVLTFLLEYPERPIIFLSMCYNVYSLAFLIRATGCTLVFLLLYYFGMASSLWWVVLTLTWFLAAGKKWGIEAHGSYFHMAAWGLPALKTIVILTLAAALTGFVLVPLSGYLVLGSSFLLTGFVALFHIRKIMEKLEKLMVKIGVFSILYTVPATCVIVCYVYERLNMDFWRLRATEQPCAAAAGPGVAVFMLKIFMSLVVGITSGVWVWSSKTFQTWQSLCYRKI</v>
      </c>
      <c r="C399" s="65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EKLEKLMVKIGVFSILYTVPATCVIVCYVYERLNMDFWRLRATEQPCAAAAGPG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492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53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REDKRFAVVWLAIWAVLCFFSSAFTVLTFLIDYPERPIIFLSMCYCVYSVGYLIRLTGCTLVFLVLYYFGMASSLWWVVLTLTWFLAAGKKWGIEANSSYFHLAAWAIPAVKTILILVMVNALTGFVLIPLACYLVIGTSFILSGFVALFHIRRVMDKLEKLMVRIGLFSVLYTVPATCVIACYFYERLNMDYWKILAAQHKCKMNNQTKVEIFMVKIFMLLVVGITSGMWIWTSKTLQSWQQVCSRRL</v>
      </c>
      <c r="C400" s="65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DKLEKLMVRIGLFSVLYTVPATCVIACYFYERLNMDYWKILAAQHKCKMNNQTK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488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53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65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REELSFARYFIGLISIICLSATLFTFLTFLIDYPERPIIFYAVCYMMVSLIFFIGFKACTMLFMILYFFTMAGSVWWVILTITWFLAAVPKWGIEKKALLFHASAWGIPGTLTIILLAMVDALRYFVLAPLCLYVVVGVSLLLAGIISLNRVRIEIDKLVKFMIRIGVFSILYLVPLLVVIGCYFYEQAYRGIWETTWIQERCREYHIPCLILFLMKYLMALIVGIPSVFWVGSKKTCFEWASFFHGRR</v>
      </c>
      <c r="C402" s="65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DKLVKFMIRIGVFSILYLVPLLVVIGCYFYEQAYRGIWETTWIQERCREYHIPC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465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53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SDELEFAKSFIGTVSIFCLCATLFTFLTFLIDYPERPIIYYSVCYSIVSLMYFIGFKACTVLFMLLYFFTMAGTVWWVILTITWFLAAGRKWSIEQKAVWFHAVAWGTPGFLTVMLLAMLDASRYFVLLPLCLCVFVGLSLLLAGIISLNHVRQVIEKLKKFMIRIGVFSGLYLVPLVTLLGCYVYEQVNRITWEITWVSDHCRQYHIPCLALFMIKYLMTLIVGISAVFWVGSKKTCTEWAGFFKRNR</v>
      </c>
      <c r="C403" s="65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EKLKKFMIRIGVFSGLYLVPLVTLLGCYVYEQVNRITWEITWVSDHCRQYHIPC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461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53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65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65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65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53" customFormat="1" x14ac:dyDescent="0.25">
      <c r="A1" s="53" t="s">
        <v>205</v>
      </c>
      <c r="B1" s="53" t="s">
        <v>1375</v>
      </c>
      <c r="C1" s="53" t="s">
        <v>1445</v>
      </c>
      <c r="D1" s="53" t="s">
        <v>1423</v>
      </c>
      <c r="E1" s="53" t="s">
        <v>291</v>
      </c>
    </row>
    <row r="2" spans="1:5" x14ac:dyDescent="0.25">
      <c r="A2" t="s">
        <v>662</v>
      </c>
      <c r="B2" t="s">
        <v>757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5">
      <c r="A3" t="s">
        <v>663</v>
      </c>
      <c r="B3" t="s">
        <v>788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5">
      <c r="A4" t="s">
        <v>1125</v>
      </c>
      <c r="B4" t="s">
        <v>805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5">
      <c r="A5" t="s">
        <v>661</v>
      </c>
      <c r="B5" t="s">
        <v>838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5">
      <c r="A6" t="s">
        <v>668</v>
      </c>
      <c r="B6" t="s">
        <v>891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5">
      <c r="A7" t="s">
        <v>669</v>
      </c>
      <c r="B7" t="s">
        <v>892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5">
      <c r="A8" t="s">
        <v>670</v>
      </c>
      <c r="B8" t="s">
        <v>893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5">
      <c r="A9" t="s">
        <v>671</v>
      </c>
      <c r="B9" t="s">
        <v>894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5">
      <c r="A10" t="s">
        <v>672</v>
      </c>
      <c r="B10" t="s">
        <v>895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5">
      <c r="A11" t="s">
        <v>673</v>
      </c>
      <c r="B11" t="s">
        <v>896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5">
      <c r="A12" t="s">
        <v>674</v>
      </c>
      <c r="B12" t="s">
        <v>897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5">
      <c r="A13" t="s">
        <v>650</v>
      </c>
      <c r="B13" t="s">
        <v>898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5">
      <c r="A14" t="s">
        <v>651</v>
      </c>
      <c r="B14" t="s">
        <v>899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5">
      <c r="A15" t="s">
        <v>652</v>
      </c>
      <c r="B15" t="s">
        <v>900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5">
      <c r="A16" t="s">
        <v>653</v>
      </c>
      <c r="B16" t="s">
        <v>901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5">
      <c r="A17" t="s">
        <v>654</v>
      </c>
      <c r="B17" t="s">
        <v>902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5">
      <c r="A18" t="s">
        <v>655</v>
      </c>
      <c r="B18" t="s">
        <v>903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5">
      <c r="A19" t="s">
        <v>656</v>
      </c>
      <c r="B19" t="s">
        <v>904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5">
      <c r="A20" t="s">
        <v>657</v>
      </c>
      <c r="B20" t="s">
        <v>905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5">
      <c r="A21" t="s">
        <v>658</v>
      </c>
      <c r="B21" t="s">
        <v>906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5">
      <c r="A22" t="s">
        <v>659</v>
      </c>
      <c r="B22" t="s">
        <v>907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5">
      <c r="A23" t="s">
        <v>660</v>
      </c>
      <c r="B23" t="s">
        <v>908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5">
      <c r="A24" t="s">
        <v>664</v>
      </c>
      <c r="B24" t="s">
        <v>909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5">
      <c r="A25" t="s">
        <v>665</v>
      </c>
      <c r="B25" t="s">
        <v>910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5">
      <c r="A26" t="s">
        <v>666</v>
      </c>
      <c r="B26" t="s">
        <v>911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5">
      <c r="A27" t="s">
        <v>676</v>
      </c>
      <c r="B27" t="s">
        <v>1073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5">
      <c r="A28" t="s">
        <v>675</v>
      </c>
      <c r="B28" t="s">
        <v>1074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5">
      <c r="A29" t="s">
        <v>677</v>
      </c>
      <c r="B29" t="s">
        <v>1075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5">
      <c r="A30" t="s">
        <v>678</v>
      </c>
      <c r="B30" t="s">
        <v>1076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5">
      <c r="A31" t="s">
        <v>679</v>
      </c>
      <c r="B31" t="s">
        <v>1077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5">
      <c r="A32" t="s">
        <v>680</v>
      </c>
      <c r="B32" t="s">
        <v>1078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5">
      <c r="A33" t="s">
        <v>207</v>
      </c>
      <c r="B33" t="s">
        <v>1072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5">
      <c r="A34" t="s">
        <v>640</v>
      </c>
      <c r="B34" t="s">
        <v>1062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5">
      <c r="A35" t="s">
        <v>642</v>
      </c>
      <c r="B35" t="s">
        <v>1063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5">
      <c r="A36" t="s">
        <v>643</v>
      </c>
      <c r="B36" t="s">
        <v>1064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5">
      <c r="A37" t="s">
        <v>644</v>
      </c>
      <c r="B37" t="s">
        <v>1065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5">
      <c r="A38" t="s">
        <v>645</v>
      </c>
      <c r="B38" t="s">
        <v>1066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5">
      <c r="A39" t="s">
        <v>646</v>
      </c>
      <c r="B39" t="s">
        <v>1067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5">
      <c r="A40" t="s">
        <v>647</v>
      </c>
      <c r="B40" t="s">
        <v>1068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5">
      <c r="A41" t="s">
        <v>648</v>
      </c>
      <c r="B41" t="s">
        <v>1069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5">
      <c r="A42" t="s">
        <v>649</v>
      </c>
      <c r="B42" t="s">
        <v>1070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5">
      <c r="A43" t="s">
        <v>641</v>
      </c>
      <c r="B43" t="s">
        <v>1071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5">
      <c r="A44" t="s">
        <v>223</v>
      </c>
      <c r="B44" t="s">
        <v>1045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5">
      <c r="A45" t="s">
        <v>224</v>
      </c>
      <c r="B45" t="s">
        <v>1049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5">
      <c r="A46" t="s">
        <v>304</v>
      </c>
      <c r="B46" t="s">
        <v>1040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5">
      <c r="A47" t="s">
        <v>299</v>
      </c>
      <c r="B47" t="s">
        <v>1041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5">
      <c r="A48" t="s">
        <v>298</v>
      </c>
      <c r="B48" t="s">
        <v>1042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5">
      <c r="A49" t="s">
        <v>307</v>
      </c>
      <c r="B49" t="s">
        <v>1043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5">
      <c r="A50" t="s">
        <v>300</v>
      </c>
      <c r="B50" t="s">
        <v>1044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5">
      <c r="A51" t="s">
        <v>308</v>
      </c>
      <c r="B51" t="s">
        <v>1046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5">
      <c r="A52" t="s">
        <v>309</v>
      </c>
      <c r="B52" t="s">
        <v>1047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5">
      <c r="A53" t="s">
        <v>310</v>
      </c>
      <c r="B53" t="s">
        <v>1048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5">
      <c r="A54" t="s">
        <v>311</v>
      </c>
      <c r="B54" t="s">
        <v>1050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5">
      <c r="A55" t="s">
        <v>312</v>
      </c>
      <c r="B55" t="s">
        <v>1051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5">
      <c r="A56" t="s">
        <v>313</v>
      </c>
      <c r="B56" t="s">
        <v>1052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5">
      <c r="A57" t="s">
        <v>315</v>
      </c>
      <c r="B57" t="s">
        <v>1053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5">
      <c r="A58" t="s">
        <v>316</v>
      </c>
      <c r="B58" t="s">
        <v>1054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5">
      <c r="A59" t="s">
        <v>317</v>
      </c>
      <c r="B59" t="s">
        <v>1055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5">
      <c r="A60" t="s">
        <v>301</v>
      </c>
      <c r="B60" t="s">
        <v>1056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5">
      <c r="A61" t="s">
        <v>302</v>
      </c>
      <c r="B61" t="s">
        <v>1057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5">
      <c r="A62" t="s">
        <v>303</v>
      </c>
      <c r="B62" t="s">
        <v>1058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5">
      <c r="A63" t="s">
        <v>314</v>
      </c>
      <c r="B63" t="s">
        <v>1059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5">
      <c r="A64" t="s">
        <v>305</v>
      </c>
      <c r="B64" t="s">
        <v>1060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5">
      <c r="A65" t="s">
        <v>306</v>
      </c>
      <c r="B65" t="s">
        <v>1061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5">
      <c r="A66" t="s">
        <v>1395</v>
      </c>
      <c r="B66" t="s">
        <v>1007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5">
      <c r="A67" t="s">
        <v>1396</v>
      </c>
      <c r="B67" t="s">
        <v>1008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5">
      <c r="A68" t="s">
        <v>1397</v>
      </c>
      <c r="B68" t="s">
        <v>1009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5">
      <c r="A69" t="s">
        <v>607</v>
      </c>
      <c r="B69" t="s">
        <v>1010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5">
      <c r="A70" t="s">
        <v>1398</v>
      </c>
      <c r="B70" t="s">
        <v>1011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5">
      <c r="A71" t="s">
        <v>1399</v>
      </c>
      <c r="B71" t="s">
        <v>1012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5">
      <c r="A72" t="s">
        <v>611</v>
      </c>
      <c r="B72" t="s">
        <v>1013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5">
      <c r="A73" t="s">
        <v>612</v>
      </c>
      <c r="B73" t="s">
        <v>1014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5">
      <c r="A74" t="s">
        <v>613</v>
      </c>
      <c r="B74" t="s">
        <v>1015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5">
      <c r="A75" t="s">
        <v>1400</v>
      </c>
      <c r="B75" t="s">
        <v>1016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5">
      <c r="A76" t="s">
        <v>1401</v>
      </c>
      <c r="B76" t="s">
        <v>1017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5">
      <c r="A77" t="s">
        <v>1402</v>
      </c>
      <c r="B77" t="s">
        <v>1018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5">
      <c r="A78" t="s">
        <v>1403</v>
      </c>
      <c r="B78" t="s">
        <v>1019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5">
      <c r="A79" t="s">
        <v>1404</v>
      </c>
      <c r="B79" t="s">
        <v>1020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5">
      <c r="A80" t="s">
        <v>1405</v>
      </c>
      <c r="B80" t="s">
        <v>1021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5">
      <c r="A81" t="s">
        <v>610</v>
      </c>
      <c r="B81" t="s">
        <v>1022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5">
      <c r="A82" t="s">
        <v>1406</v>
      </c>
      <c r="B82" t="s">
        <v>1023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5">
      <c r="A83" t="s">
        <v>1407</v>
      </c>
      <c r="B83" t="s">
        <v>1024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5">
      <c r="A84" t="s">
        <v>1408</v>
      </c>
      <c r="B84" t="s">
        <v>1025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5">
      <c r="A85" t="s">
        <v>1409</v>
      </c>
      <c r="B85" t="s">
        <v>1026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5">
      <c r="A86" t="s">
        <v>1410</v>
      </c>
      <c r="B86" t="s">
        <v>1027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5">
      <c r="A87" t="s">
        <v>1411</v>
      </c>
      <c r="B87" t="s">
        <v>1028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5">
      <c r="A88" t="s">
        <v>1412</v>
      </c>
      <c r="B88" t="s">
        <v>1029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5">
      <c r="A89" t="s">
        <v>1413</v>
      </c>
      <c r="B89" t="s">
        <v>1030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5">
      <c r="A90" t="s">
        <v>1414</v>
      </c>
      <c r="B90" t="s">
        <v>1031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5">
      <c r="A91" t="s">
        <v>1415</v>
      </c>
      <c r="B91" t="s">
        <v>1032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5">
      <c r="A92" t="s">
        <v>629</v>
      </c>
      <c r="B92" t="s">
        <v>1033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5">
      <c r="A93" t="s">
        <v>1416</v>
      </c>
      <c r="B93" t="s">
        <v>1034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5">
      <c r="A94" t="s">
        <v>1417</v>
      </c>
      <c r="B94" t="s">
        <v>1035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5">
      <c r="A95" t="s">
        <v>1418</v>
      </c>
      <c r="B95" t="s">
        <v>1036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5">
      <c r="A96" t="s">
        <v>1419</v>
      </c>
      <c r="B96" t="s">
        <v>1037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5">
      <c r="A97" t="s">
        <v>1420</v>
      </c>
      <c r="B97" t="s">
        <v>1038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5">
      <c r="A98" t="s">
        <v>636</v>
      </c>
      <c r="B98" t="s">
        <v>1039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5">
      <c r="A99" t="s">
        <v>213</v>
      </c>
      <c r="B99" t="s">
        <v>1557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5">
      <c r="A100" t="s">
        <v>206</v>
      </c>
      <c r="B100" t="s">
        <v>1000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5">
      <c r="A101" t="s">
        <v>594</v>
      </c>
      <c r="B101" t="s">
        <v>993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5">
      <c r="A102" t="s">
        <v>595</v>
      </c>
      <c r="B102" t="s">
        <v>994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5">
      <c r="A103" t="s">
        <v>596</v>
      </c>
      <c r="B103" t="s">
        <v>995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5">
      <c r="A104" t="s">
        <v>597</v>
      </c>
      <c r="B104" t="s">
        <v>996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5">
      <c r="A105" t="s">
        <v>598</v>
      </c>
      <c r="B105" t="s">
        <v>997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5">
      <c r="A106" t="s">
        <v>599</v>
      </c>
      <c r="B106" t="s">
        <v>998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5">
      <c r="A107" t="s">
        <v>600</v>
      </c>
      <c r="B107" t="s">
        <v>999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5">
      <c r="A108" t="s">
        <v>604</v>
      </c>
      <c r="B108" t="s">
        <v>1001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5">
      <c r="A109" t="s">
        <v>602</v>
      </c>
      <c r="B109" t="s">
        <v>1002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5">
      <c r="A110" t="s">
        <v>603</v>
      </c>
      <c r="B110" t="s">
        <v>1003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5">
      <c r="A111" t="s">
        <v>601</v>
      </c>
      <c r="B111" t="s">
        <v>1004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5">
      <c r="A112" t="s">
        <v>605</v>
      </c>
      <c r="B112" t="s">
        <v>1005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5">
      <c r="A113" t="s">
        <v>606</v>
      </c>
      <c r="B113" t="s">
        <v>1006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5">
      <c r="A114" t="s">
        <v>1107</v>
      </c>
      <c r="B114" t="s">
        <v>1108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5">
      <c r="A115" t="s">
        <v>1111</v>
      </c>
      <c r="B115" t="s">
        <v>1112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5">
      <c r="A116" t="s">
        <v>1113</v>
      </c>
      <c r="B116" t="s">
        <v>1114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5">
      <c r="A117" t="s">
        <v>1105</v>
      </c>
      <c r="B117" t="s">
        <v>1106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5">
      <c r="A118" t="s">
        <v>1109</v>
      </c>
      <c r="B118" t="s">
        <v>1110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1117</v>
      </c>
      <c r="B119" t="s">
        <v>1118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1115</v>
      </c>
      <c r="B120" t="s">
        <v>1116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1119</v>
      </c>
      <c r="B121" t="s">
        <v>1120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682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687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339</v>
      </c>
      <c r="B124" t="s">
        <v>693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340</v>
      </c>
      <c r="B125" t="s">
        <v>694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342</v>
      </c>
      <c r="B126" t="s">
        <v>697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319</v>
      </c>
      <c r="B127" t="s">
        <v>706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385</v>
      </c>
      <c r="B128" t="s">
        <v>709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471</v>
      </c>
      <c r="B129" t="s">
        <v>712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351</v>
      </c>
      <c r="B130" t="s">
        <v>717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528</v>
      </c>
      <c r="B131" t="s">
        <v>765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529</v>
      </c>
      <c r="B132" t="s">
        <v>766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1392</v>
      </c>
      <c r="B133" t="s">
        <v>768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1393</v>
      </c>
      <c r="B134" t="s">
        <v>769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1394</v>
      </c>
      <c r="B135" t="s">
        <v>770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548</v>
      </c>
      <c r="B136" t="s">
        <v>773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366</v>
      </c>
      <c r="B137" t="s">
        <v>801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1390</v>
      </c>
      <c r="B138" t="s">
        <v>811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1391</v>
      </c>
      <c r="B139" t="s">
        <v>827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296</v>
      </c>
      <c r="B140" t="s">
        <v>837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297</v>
      </c>
      <c r="B141" t="s">
        <v>843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332</v>
      </c>
      <c r="B142" t="s">
        <v>866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538</v>
      </c>
      <c r="B143" t="s">
        <v>869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545</v>
      </c>
      <c r="B144" t="s">
        <v>874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532</v>
      </c>
      <c r="B145" t="s">
        <v>884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321</v>
      </c>
      <c r="B146" t="s">
        <v>681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322</v>
      </c>
      <c r="B147" t="s">
        <v>683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323</v>
      </c>
      <c r="B148" t="s">
        <v>684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324</v>
      </c>
      <c r="B149" t="s">
        <v>685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325</v>
      </c>
      <c r="B150" t="s">
        <v>686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326</v>
      </c>
      <c r="B151" t="s">
        <v>688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327</v>
      </c>
      <c r="B152" t="s">
        <v>689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328</v>
      </c>
      <c r="B153" t="s">
        <v>690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329</v>
      </c>
      <c r="B154" t="s">
        <v>691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330</v>
      </c>
      <c r="B155" t="s">
        <v>692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384</v>
      </c>
      <c r="B156" t="s">
        <v>695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341</v>
      </c>
      <c r="B157" t="s">
        <v>696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343</v>
      </c>
      <c r="B158" t="s">
        <v>698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345</v>
      </c>
      <c r="B159" t="s">
        <v>699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346</v>
      </c>
      <c r="B160" t="s">
        <v>700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347</v>
      </c>
      <c r="B161" t="s">
        <v>701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348</v>
      </c>
      <c r="B162" t="s">
        <v>702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349</v>
      </c>
      <c r="B163" t="s">
        <v>703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350</v>
      </c>
      <c r="B164" t="s">
        <v>704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318</v>
      </c>
      <c r="B165" t="s">
        <v>705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295</v>
      </c>
      <c r="B166" t="s">
        <v>707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383</v>
      </c>
      <c r="B167" t="s">
        <v>708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386</v>
      </c>
      <c r="B168" t="s">
        <v>710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387</v>
      </c>
      <c r="B169" t="s">
        <v>711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472</v>
      </c>
      <c r="B170" t="s">
        <v>713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473</v>
      </c>
      <c r="B171" t="s">
        <v>714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474</v>
      </c>
      <c r="B172" t="s">
        <v>715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580</v>
      </c>
      <c r="B173" t="s">
        <v>716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352</v>
      </c>
      <c r="B174" t="s">
        <v>718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353</v>
      </c>
      <c r="B175" t="s">
        <v>719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510</v>
      </c>
      <c r="B176" t="s">
        <v>720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467</v>
      </c>
      <c r="B177" t="s">
        <v>721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356</v>
      </c>
      <c r="B178" t="s">
        <v>722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354</v>
      </c>
      <c r="B179" t="s">
        <v>723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355</v>
      </c>
      <c r="B180" t="s">
        <v>724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360</v>
      </c>
      <c r="B181" t="s">
        <v>725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401</v>
      </c>
      <c r="B182" t="s">
        <v>726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357</v>
      </c>
      <c r="B183" t="s">
        <v>727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358</v>
      </c>
      <c r="B184" t="s">
        <v>728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359</v>
      </c>
      <c r="B185" t="s">
        <v>729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388</v>
      </c>
      <c r="B186" t="s">
        <v>730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389</v>
      </c>
      <c r="B187" t="s">
        <v>731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394</v>
      </c>
      <c r="B188" t="s">
        <v>732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395</v>
      </c>
      <c r="B189" t="s">
        <v>733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396</v>
      </c>
      <c r="B190" t="s">
        <v>734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398</v>
      </c>
      <c r="B191" t="s">
        <v>735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399</v>
      </c>
      <c r="B192" t="s">
        <v>736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400</v>
      </c>
      <c r="B193" t="s">
        <v>737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402</v>
      </c>
      <c r="B194" t="s">
        <v>738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403</v>
      </c>
      <c r="B195" t="s">
        <v>739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404</v>
      </c>
      <c r="B196" t="s">
        <v>740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475</v>
      </c>
      <c r="B197" t="s">
        <v>741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492</v>
      </c>
      <c r="B198" t="s">
        <v>742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493</v>
      </c>
      <c r="B199" t="s">
        <v>743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502</v>
      </c>
      <c r="B200" t="s">
        <v>744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344</v>
      </c>
      <c r="B201" t="s">
        <v>745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489</v>
      </c>
      <c r="B202" t="s">
        <v>746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490</v>
      </c>
      <c r="B203" t="s">
        <v>747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491</v>
      </c>
      <c r="B204" t="s">
        <v>748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503</v>
      </c>
      <c r="B205" t="s">
        <v>749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511</v>
      </c>
      <c r="B206" t="s">
        <v>750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512</v>
      </c>
      <c r="B207" t="s">
        <v>751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515</v>
      </c>
      <c r="B208" t="s">
        <v>752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516</v>
      </c>
      <c r="B209" t="s">
        <v>753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517</v>
      </c>
      <c r="B210" t="s">
        <v>754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513</v>
      </c>
      <c r="B211" t="s">
        <v>755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514</v>
      </c>
      <c r="B212" t="s">
        <v>756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518</v>
      </c>
      <c r="B213" t="s">
        <v>758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519</v>
      </c>
      <c r="B214" t="s">
        <v>759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520</v>
      </c>
      <c r="B215" t="s">
        <v>760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521</v>
      </c>
      <c r="B216" t="s">
        <v>761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522</v>
      </c>
      <c r="B217" t="s">
        <v>762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320</v>
      </c>
      <c r="B218" t="s">
        <v>763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523</v>
      </c>
      <c r="B219" t="s">
        <v>764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530</v>
      </c>
      <c r="B220" t="s">
        <v>767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565</v>
      </c>
      <c r="B221" t="s">
        <v>771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562</v>
      </c>
      <c r="B222" t="s">
        <v>772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549</v>
      </c>
      <c r="B223" t="s">
        <v>774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550</v>
      </c>
      <c r="B224" t="s">
        <v>775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551</v>
      </c>
      <c r="B225" t="s">
        <v>776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568</v>
      </c>
      <c r="B226" t="s">
        <v>777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569</v>
      </c>
      <c r="B227" t="s">
        <v>778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566</v>
      </c>
      <c r="B228" t="s">
        <v>779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567</v>
      </c>
      <c r="B229" t="s">
        <v>780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574</v>
      </c>
      <c r="B230" t="s">
        <v>781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575</v>
      </c>
      <c r="B231" t="s">
        <v>782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576</v>
      </c>
      <c r="B232" t="s">
        <v>783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577</v>
      </c>
      <c r="B233" t="s">
        <v>784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578</v>
      </c>
      <c r="B234" t="s">
        <v>785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507</v>
      </c>
      <c r="B235" t="s">
        <v>786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508</v>
      </c>
      <c r="B236" t="s">
        <v>787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509</v>
      </c>
      <c r="B237" t="s">
        <v>789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587</v>
      </c>
      <c r="B238" t="s">
        <v>790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589</v>
      </c>
      <c r="B239" t="s">
        <v>791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590</v>
      </c>
      <c r="B240" t="s">
        <v>792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591</v>
      </c>
      <c r="B241" t="s">
        <v>793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592</v>
      </c>
      <c r="B242" t="s">
        <v>794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537</v>
      </c>
      <c r="B243" t="s">
        <v>795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374</v>
      </c>
      <c r="B244" t="s">
        <v>796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361</v>
      </c>
      <c r="B245" t="s">
        <v>797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363</v>
      </c>
      <c r="B246" t="s">
        <v>798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364</v>
      </c>
      <c r="B247" t="s">
        <v>799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365</v>
      </c>
      <c r="B248" t="s">
        <v>800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367</v>
      </c>
      <c r="B249" t="s">
        <v>802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368</v>
      </c>
      <c r="B250" t="s">
        <v>803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369</v>
      </c>
      <c r="B251" t="s">
        <v>804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370</v>
      </c>
      <c r="B252" t="s">
        <v>806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362</v>
      </c>
      <c r="B253" t="s">
        <v>807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378</v>
      </c>
      <c r="B254" t="s">
        <v>808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379</v>
      </c>
      <c r="B255" t="s">
        <v>809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380</v>
      </c>
      <c r="B256" t="s">
        <v>810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381</v>
      </c>
      <c r="B257" t="s">
        <v>812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382</v>
      </c>
      <c r="B258" t="s">
        <v>813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377</v>
      </c>
      <c r="B259" t="s">
        <v>814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593</v>
      </c>
      <c r="B260" t="s">
        <v>815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335</v>
      </c>
      <c r="B261" t="s">
        <v>816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336</v>
      </c>
      <c r="B262" t="s">
        <v>817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337</v>
      </c>
      <c r="B263" t="s">
        <v>818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338</v>
      </c>
      <c r="B264" t="s">
        <v>819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371</v>
      </c>
      <c r="B265" t="s">
        <v>820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397</v>
      </c>
      <c r="B266" t="s">
        <v>821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479</v>
      </c>
      <c r="B267" t="s">
        <v>822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484</v>
      </c>
      <c r="B268" t="s">
        <v>823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588</v>
      </c>
      <c r="B269" t="s">
        <v>824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560</v>
      </c>
      <c r="B270" t="s">
        <v>825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561</v>
      </c>
      <c r="B271" t="s">
        <v>826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391</v>
      </c>
      <c r="B272" t="s">
        <v>828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392</v>
      </c>
      <c r="B273" t="s">
        <v>829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393</v>
      </c>
      <c r="B274" t="s">
        <v>830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451</v>
      </c>
      <c r="B275" t="s">
        <v>831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485</v>
      </c>
      <c r="B276" t="s">
        <v>832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486</v>
      </c>
      <c r="B277" t="s">
        <v>833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372</v>
      </c>
      <c r="B278" t="s">
        <v>834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373</v>
      </c>
      <c r="B279" t="s">
        <v>835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535</v>
      </c>
      <c r="B280" t="s">
        <v>836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480</v>
      </c>
      <c r="B281" t="s">
        <v>839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481</v>
      </c>
      <c r="B282" t="s">
        <v>840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482</v>
      </c>
      <c r="B283" t="s">
        <v>841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483</v>
      </c>
      <c r="B284" t="s">
        <v>842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570</v>
      </c>
      <c r="B285" t="s">
        <v>844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571</v>
      </c>
      <c r="B286" t="s">
        <v>845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572</v>
      </c>
      <c r="B287" t="s">
        <v>846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573</v>
      </c>
      <c r="B288" t="s">
        <v>847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375</v>
      </c>
      <c r="B289" t="s">
        <v>848</v>
      </c>
      <c r="C289" t="str">
        <f>IF(ISERROR(MATCH(A289,'Xtal_SegEnds_Prot#'!B:B, 0)), "NoXtal", "Xtal")</f>
        <v>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849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434</v>
      </c>
      <c r="B291" t="s">
        <v>850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454</v>
      </c>
      <c r="B292" t="s">
        <v>851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406</v>
      </c>
      <c r="B293" t="s">
        <v>852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564</v>
      </c>
      <c r="B294" t="s">
        <v>853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552</v>
      </c>
      <c r="B295" t="s">
        <v>854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553</v>
      </c>
      <c r="B296" t="s">
        <v>855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554</v>
      </c>
      <c r="B297" t="s">
        <v>856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555</v>
      </c>
      <c r="B298" t="s">
        <v>857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556</v>
      </c>
      <c r="B299" t="s">
        <v>858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557</v>
      </c>
      <c r="B300" t="s">
        <v>859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558</v>
      </c>
      <c r="B301" t="s">
        <v>860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559</v>
      </c>
      <c r="B302" t="s">
        <v>861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667</v>
      </c>
      <c r="B303" t="s">
        <v>862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504</v>
      </c>
      <c r="B304" t="s">
        <v>863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505</v>
      </c>
      <c r="B305" t="s">
        <v>864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331</v>
      </c>
      <c r="B306" t="s">
        <v>865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333</v>
      </c>
      <c r="B307" t="s">
        <v>867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334</v>
      </c>
      <c r="B308" t="s">
        <v>868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539</v>
      </c>
      <c r="B309" t="s">
        <v>870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540</v>
      </c>
      <c r="B310" t="s">
        <v>871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541</v>
      </c>
      <c r="B311" t="s">
        <v>872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544</v>
      </c>
      <c r="B312" t="s">
        <v>873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546</v>
      </c>
      <c r="B313" t="s">
        <v>875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547</v>
      </c>
      <c r="B314" t="s">
        <v>876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428</v>
      </c>
      <c r="B315" t="s">
        <v>877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429</v>
      </c>
      <c r="B316" t="s">
        <v>878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468</v>
      </c>
      <c r="B317" t="s">
        <v>879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469</v>
      </c>
      <c r="B318" t="s">
        <v>880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470</v>
      </c>
      <c r="B319" t="s">
        <v>881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536</v>
      </c>
      <c r="B320" t="s">
        <v>882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579</v>
      </c>
      <c r="B321" t="s">
        <v>883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526</v>
      </c>
      <c r="B322" t="s">
        <v>885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525</v>
      </c>
      <c r="B323" t="s">
        <v>886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527</v>
      </c>
      <c r="B324" t="s">
        <v>887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531</v>
      </c>
      <c r="B325" t="s">
        <v>888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533</v>
      </c>
      <c r="B326" t="s">
        <v>889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534</v>
      </c>
      <c r="B327" t="s">
        <v>890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430</v>
      </c>
      <c r="B328" t="s">
        <v>912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442</v>
      </c>
      <c r="B329" t="s">
        <v>913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450</v>
      </c>
      <c r="B330" t="s">
        <v>914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455</v>
      </c>
      <c r="B331" t="s">
        <v>915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431</v>
      </c>
      <c r="B332" t="s">
        <v>916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432</v>
      </c>
      <c r="B333" t="s">
        <v>917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433</v>
      </c>
      <c r="B334" t="s">
        <v>918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435</v>
      </c>
      <c r="B335" t="s">
        <v>919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436</v>
      </c>
      <c r="B336" t="s">
        <v>920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437</v>
      </c>
      <c r="B337" t="s">
        <v>921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438</v>
      </c>
      <c r="B338" t="s">
        <v>922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439</v>
      </c>
      <c r="B339" t="s">
        <v>923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440</v>
      </c>
      <c r="B340" t="s">
        <v>924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441</v>
      </c>
      <c r="B341" t="s">
        <v>925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443</v>
      </c>
      <c r="B342" t="s">
        <v>926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444</v>
      </c>
      <c r="B343" t="s">
        <v>927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445</v>
      </c>
      <c r="B344" t="s">
        <v>928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446</v>
      </c>
      <c r="B345" t="s">
        <v>929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447</v>
      </c>
      <c r="B346" t="s">
        <v>930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448</v>
      </c>
      <c r="B347" t="s">
        <v>931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390</v>
      </c>
      <c r="B348" t="s">
        <v>932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449</v>
      </c>
      <c r="B349" t="s">
        <v>933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452</v>
      </c>
      <c r="B350" t="s">
        <v>934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506</v>
      </c>
      <c r="B351" t="s">
        <v>935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453</v>
      </c>
      <c r="B352" t="s">
        <v>936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456</v>
      </c>
      <c r="B353" t="s">
        <v>937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457</v>
      </c>
      <c r="B354" t="s">
        <v>938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458</v>
      </c>
      <c r="B355" t="s">
        <v>939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563</v>
      </c>
      <c r="B356" t="s">
        <v>940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524</v>
      </c>
      <c r="B357" t="s">
        <v>941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459</v>
      </c>
      <c r="B358" t="s">
        <v>942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460</v>
      </c>
      <c r="B359" t="s">
        <v>943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461</v>
      </c>
      <c r="B360" t="s">
        <v>944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462</v>
      </c>
      <c r="B361" t="s">
        <v>945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463</v>
      </c>
      <c r="B362" t="s">
        <v>946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464</v>
      </c>
      <c r="B363" t="s">
        <v>947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465</v>
      </c>
      <c r="B364" t="s">
        <v>948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466</v>
      </c>
      <c r="B365" t="s">
        <v>949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405</v>
      </c>
      <c r="B366" t="s">
        <v>950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407</v>
      </c>
      <c r="B367" t="s">
        <v>951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408</v>
      </c>
      <c r="B368" t="s">
        <v>952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409</v>
      </c>
      <c r="B369" t="s">
        <v>953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410</v>
      </c>
      <c r="B370" t="s">
        <v>954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411</v>
      </c>
      <c r="B371" t="s">
        <v>955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412</v>
      </c>
      <c r="B372" t="s">
        <v>956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413</v>
      </c>
      <c r="B373" t="s">
        <v>957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414</v>
      </c>
      <c r="B374" t="s">
        <v>958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415</v>
      </c>
      <c r="B375" t="s">
        <v>959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416</v>
      </c>
      <c r="B376" t="s">
        <v>960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417</v>
      </c>
      <c r="B377" t="s">
        <v>961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418</v>
      </c>
      <c r="B378" t="s">
        <v>962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419</v>
      </c>
      <c r="B379" t="s">
        <v>963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420</v>
      </c>
      <c r="B380" t="s">
        <v>964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421</v>
      </c>
      <c r="B381" t="s">
        <v>965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422</v>
      </c>
      <c r="B382" t="s">
        <v>966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423</v>
      </c>
      <c r="B383" t="s">
        <v>967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424</v>
      </c>
      <c r="B384" t="s">
        <v>968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425</v>
      </c>
      <c r="B385" t="s">
        <v>969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426</v>
      </c>
      <c r="B386" t="s">
        <v>970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427</v>
      </c>
      <c r="B387" t="s">
        <v>971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476</v>
      </c>
      <c r="B388" t="s">
        <v>972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477</v>
      </c>
      <c r="B389" t="s">
        <v>973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478</v>
      </c>
      <c r="B390" t="s">
        <v>974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487</v>
      </c>
      <c r="B391" t="s">
        <v>975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488</v>
      </c>
      <c r="B392" t="s">
        <v>976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494</v>
      </c>
      <c r="B393" t="s">
        <v>977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495</v>
      </c>
      <c r="B394" t="s">
        <v>978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496</v>
      </c>
      <c r="B395" t="s">
        <v>979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497</v>
      </c>
      <c r="B396" t="s">
        <v>980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498</v>
      </c>
      <c r="B397" t="s">
        <v>981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499</v>
      </c>
      <c r="B398" t="s">
        <v>982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500</v>
      </c>
      <c r="B399" t="s">
        <v>983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501</v>
      </c>
      <c r="B400" t="s">
        <v>984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542</v>
      </c>
      <c r="B401" t="s">
        <v>985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543</v>
      </c>
      <c r="B402" t="s">
        <v>986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581</v>
      </c>
      <c r="B403" t="s">
        <v>987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582</v>
      </c>
      <c r="B404" t="s">
        <v>988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583</v>
      </c>
      <c r="B405" t="s">
        <v>989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584</v>
      </c>
      <c r="B406" t="s">
        <v>990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585</v>
      </c>
      <c r="B407" t="s">
        <v>991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586</v>
      </c>
      <c r="B408" t="s">
        <v>992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24" workbookViewId="0">
      <selection activeCell="B238" sqref="B23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0.83203125" style="64"/>
    <col min="4" max="4" width="10.83203125" style="33"/>
    <col min="5" max="5" width="14.6640625" style="33" bestFit="1" customWidth="1"/>
    <col min="6" max="6" width="11.1640625" customWidth="1"/>
    <col min="7" max="16384" width="10.83203125" style="1"/>
  </cols>
  <sheetData>
    <row r="1" spans="1:7" s="68" customFormat="1" x14ac:dyDescent="0.2">
      <c r="A1" s="68" t="s">
        <v>1376</v>
      </c>
      <c r="B1" s="68" t="s">
        <v>1330</v>
      </c>
      <c r="C1" s="69" t="s">
        <v>1447</v>
      </c>
      <c r="D1" s="68" t="s">
        <v>1446</v>
      </c>
      <c r="E1" s="68" t="s">
        <v>1448</v>
      </c>
    </row>
    <row r="2" spans="1:7" s="17" customFormat="1" x14ac:dyDescent="0.2">
      <c r="A2" t="s">
        <v>666</v>
      </c>
      <c r="B2" t="s">
        <v>208</v>
      </c>
      <c r="C2" s="64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651</v>
      </c>
      <c r="B3" t="s">
        <v>209</v>
      </c>
      <c r="C3" s="64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670</v>
      </c>
      <c r="B4" t="s">
        <v>340</v>
      </c>
      <c r="C4" s="64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659</v>
      </c>
      <c r="B5" t="s">
        <v>1105</v>
      </c>
      <c r="C5" s="64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679</v>
      </c>
      <c r="B6" t="s">
        <v>351</v>
      </c>
      <c r="C6" s="64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654</v>
      </c>
      <c r="B7" t="s">
        <v>351</v>
      </c>
      <c r="C7" s="64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1125</v>
      </c>
      <c r="B8" t="s">
        <v>351</v>
      </c>
      <c r="C8" s="64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665</v>
      </c>
      <c r="B9" t="s">
        <v>351</v>
      </c>
      <c r="C9" s="64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661</v>
      </c>
      <c r="B10" t="s">
        <v>351</v>
      </c>
      <c r="C10" s="64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673</v>
      </c>
      <c r="B11" t="s">
        <v>351</v>
      </c>
      <c r="C11" s="64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655</v>
      </c>
      <c r="B12" t="s">
        <v>351</v>
      </c>
      <c r="C12" s="64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657</v>
      </c>
      <c r="B13" t="s">
        <v>351</v>
      </c>
      <c r="C13" s="64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662</v>
      </c>
      <c r="B14" t="s">
        <v>351</v>
      </c>
      <c r="C14" s="64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663</v>
      </c>
      <c r="B15" t="s">
        <v>351</v>
      </c>
      <c r="C15" s="64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664</v>
      </c>
      <c r="B16" t="s">
        <v>351</v>
      </c>
      <c r="C16" s="64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674</v>
      </c>
      <c r="B17" t="s">
        <v>351</v>
      </c>
      <c r="C17" s="64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669</v>
      </c>
      <c r="B18" t="s">
        <v>351</v>
      </c>
      <c r="C18" s="64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672</v>
      </c>
      <c r="B19" t="s">
        <v>351</v>
      </c>
      <c r="C19" s="64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658</v>
      </c>
      <c r="B20" t="s">
        <v>351</v>
      </c>
      <c r="C20" s="64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656</v>
      </c>
      <c r="B21" t="s">
        <v>351</v>
      </c>
      <c r="C21" s="64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1405</v>
      </c>
      <c r="B22" t="s">
        <v>213</v>
      </c>
      <c r="C22" s="64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1415</v>
      </c>
      <c r="B23" t="s">
        <v>213</v>
      </c>
      <c r="C23" s="64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1420</v>
      </c>
      <c r="B24" t="s">
        <v>213</v>
      </c>
      <c r="C24" s="64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1413</v>
      </c>
      <c r="B25" t="s">
        <v>213</v>
      </c>
      <c r="C25" s="64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1411</v>
      </c>
      <c r="B26" t="s">
        <v>213</v>
      </c>
      <c r="C26" s="64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1402</v>
      </c>
      <c r="B27" t="s">
        <v>213</v>
      </c>
      <c r="C27" s="64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1409</v>
      </c>
      <c r="B28" t="s">
        <v>213</v>
      </c>
      <c r="C28" s="64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1403</v>
      </c>
      <c r="B29" t="s">
        <v>213</v>
      </c>
      <c r="C29" s="64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1404</v>
      </c>
      <c r="B30" t="s">
        <v>213</v>
      </c>
      <c r="C30" s="64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1408</v>
      </c>
      <c r="B31" t="s">
        <v>213</v>
      </c>
      <c r="C31" s="64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1401</v>
      </c>
      <c r="B32" t="s">
        <v>213</v>
      </c>
      <c r="C32" s="64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1400</v>
      </c>
      <c r="B33" t="s">
        <v>213</v>
      </c>
      <c r="C33" s="64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1406</v>
      </c>
      <c r="B34" t="s">
        <v>213</v>
      </c>
      <c r="C34" s="64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1416</v>
      </c>
      <c r="B35" t="s">
        <v>213</v>
      </c>
      <c r="C35" s="64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1410</v>
      </c>
      <c r="B36" t="s">
        <v>213</v>
      </c>
      <c r="C36" s="64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1414</v>
      </c>
      <c r="B37" t="s">
        <v>213</v>
      </c>
      <c r="C37" s="64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629</v>
      </c>
      <c r="B38" t="s">
        <v>213</v>
      </c>
      <c r="C38" s="64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1412</v>
      </c>
      <c r="B39" t="s">
        <v>213</v>
      </c>
      <c r="C39" s="64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636</v>
      </c>
      <c r="B40" t="s">
        <v>213</v>
      </c>
      <c r="C40" s="64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1395</v>
      </c>
      <c r="B41" t="s">
        <v>213</v>
      </c>
      <c r="C41" s="64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1396</v>
      </c>
      <c r="B42" t="s">
        <v>213</v>
      </c>
      <c r="C42" s="64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1397</v>
      </c>
      <c r="B43" t="s">
        <v>213</v>
      </c>
      <c r="C43" s="64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611</v>
      </c>
      <c r="B44" t="s">
        <v>213</v>
      </c>
      <c r="C44" s="64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612</v>
      </c>
      <c r="B45" t="s">
        <v>213</v>
      </c>
      <c r="C45" s="64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1419</v>
      </c>
      <c r="B46" t="s">
        <v>213</v>
      </c>
      <c r="C46" s="64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1418</v>
      </c>
      <c r="B47" t="s">
        <v>213</v>
      </c>
      <c r="C47" s="64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1399</v>
      </c>
      <c r="B48" t="s">
        <v>213</v>
      </c>
      <c r="C48" s="64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1417</v>
      </c>
      <c r="B49" t="s">
        <v>213</v>
      </c>
      <c r="C49" s="64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1398</v>
      </c>
      <c r="B50" t="s">
        <v>213</v>
      </c>
      <c r="C50" s="64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607</v>
      </c>
      <c r="B51" t="s">
        <v>213</v>
      </c>
      <c r="C51" s="64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1407</v>
      </c>
      <c r="B52" t="s">
        <v>213</v>
      </c>
      <c r="C52" s="64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675</v>
      </c>
      <c r="B53" t="s">
        <v>1390</v>
      </c>
      <c r="C53" s="64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678</v>
      </c>
      <c r="B54" t="s">
        <v>1390</v>
      </c>
      <c r="C54" s="64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610</v>
      </c>
      <c r="B55" t="s">
        <v>206</v>
      </c>
      <c r="C55" s="64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613</v>
      </c>
      <c r="B56" t="s">
        <v>206</v>
      </c>
      <c r="C56" s="64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680</v>
      </c>
      <c r="B57" t="s">
        <v>223</v>
      </c>
      <c r="C57" s="64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660</v>
      </c>
      <c r="B58" t="s">
        <v>1113</v>
      </c>
      <c r="C58" s="64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668</v>
      </c>
      <c r="B59" t="s">
        <v>532</v>
      </c>
      <c r="C59" s="64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653</v>
      </c>
      <c r="B60" t="s">
        <v>1394</v>
      </c>
      <c r="C60" s="64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652</v>
      </c>
      <c r="B61" t="s">
        <v>538</v>
      </c>
      <c r="C61" s="64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676</v>
      </c>
      <c r="B62" t="s">
        <v>545</v>
      </c>
      <c r="C62" s="64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650</v>
      </c>
      <c r="B63" t="s">
        <v>297</v>
      </c>
      <c r="C63" s="64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671</v>
      </c>
      <c r="B64" t="s">
        <v>1119</v>
      </c>
      <c r="C64" s="64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324</v>
      </c>
      <c r="B65" t="s">
        <v>208</v>
      </c>
      <c r="C65" s="64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328</v>
      </c>
      <c r="B66" t="s">
        <v>208</v>
      </c>
      <c r="C66" s="64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323</v>
      </c>
      <c r="B67" t="s">
        <v>208</v>
      </c>
      <c r="C67" s="64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322</v>
      </c>
      <c r="B68" t="s">
        <v>208</v>
      </c>
      <c r="C68" s="64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64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321</v>
      </c>
      <c r="B70" t="s">
        <v>208</v>
      </c>
      <c r="C70" s="64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348</v>
      </c>
      <c r="B71" t="s">
        <v>208</v>
      </c>
      <c r="C71" s="64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350</v>
      </c>
      <c r="B72" t="s">
        <v>208</v>
      </c>
      <c r="C72" s="64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585</v>
      </c>
      <c r="B73" t="s">
        <v>208</v>
      </c>
      <c r="C73" s="64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583</v>
      </c>
      <c r="B74" t="s">
        <v>208</v>
      </c>
      <c r="C74" s="64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582</v>
      </c>
      <c r="B75" t="s">
        <v>208</v>
      </c>
      <c r="C75" s="64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584</v>
      </c>
      <c r="B76" t="s">
        <v>208</v>
      </c>
      <c r="C76" s="64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413</v>
      </c>
      <c r="B77" t="s">
        <v>208</v>
      </c>
      <c r="C77" s="64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581</v>
      </c>
      <c r="B78" t="s">
        <v>208</v>
      </c>
      <c r="C78" s="64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586</v>
      </c>
      <c r="B79" t="s">
        <v>208</v>
      </c>
      <c r="C79" s="64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458</v>
      </c>
      <c r="B80" t="s">
        <v>208</v>
      </c>
      <c r="C80" s="64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330</v>
      </c>
      <c r="B81" t="s">
        <v>208</v>
      </c>
      <c r="C81" s="64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345</v>
      </c>
      <c r="B82" t="s">
        <v>208</v>
      </c>
      <c r="C82" s="64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420</v>
      </c>
      <c r="B83" t="s">
        <v>208</v>
      </c>
      <c r="C83" s="64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464</v>
      </c>
      <c r="B84" t="s">
        <v>209</v>
      </c>
      <c r="C84" s="64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423</v>
      </c>
      <c r="B85" t="s">
        <v>209</v>
      </c>
      <c r="C85" s="64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441</v>
      </c>
      <c r="B86" t="s">
        <v>209</v>
      </c>
      <c r="C86" s="64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326</v>
      </c>
      <c r="B87" t="s">
        <v>209</v>
      </c>
      <c r="C87" s="64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325</v>
      </c>
      <c r="B88" t="s">
        <v>209</v>
      </c>
      <c r="C88" s="64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64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491</v>
      </c>
      <c r="B90" t="s">
        <v>332</v>
      </c>
      <c r="C90" s="64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334</v>
      </c>
      <c r="B91" t="s">
        <v>332</v>
      </c>
      <c r="C91" s="64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331</v>
      </c>
      <c r="B92" t="s">
        <v>332</v>
      </c>
      <c r="C92" s="64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333</v>
      </c>
      <c r="B93" t="s">
        <v>332</v>
      </c>
      <c r="C93" s="64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554</v>
      </c>
      <c r="B94" t="s">
        <v>332</v>
      </c>
      <c r="C94" s="64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397</v>
      </c>
      <c r="B95" t="s">
        <v>332</v>
      </c>
      <c r="C95" s="64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484</v>
      </c>
      <c r="B96" t="s">
        <v>332</v>
      </c>
      <c r="C96" s="64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588</v>
      </c>
      <c r="B97" t="s">
        <v>332</v>
      </c>
      <c r="C97" s="64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477</v>
      </c>
      <c r="B98" t="s">
        <v>332</v>
      </c>
      <c r="C98" s="64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332</v>
      </c>
      <c r="B99" t="s">
        <v>332</v>
      </c>
      <c r="C99" s="64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473</v>
      </c>
      <c r="B100" t="s">
        <v>339</v>
      </c>
      <c r="C100" s="64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339</v>
      </c>
      <c r="B101" t="s">
        <v>339</v>
      </c>
      <c r="C101" s="64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428</v>
      </c>
      <c r="B102" t="s">
        <v>339</v>
      </c>
      <c r="C102" s="64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340</v>
      </c>
      <c r="B103" t="s">
        <v>340</v>
      </c>
      <c r="C103" s="64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474</v>
      </c>
      <c r="B104" t="s">
        <v>1105</v>
      </c>
      <c r="C104" s="64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343</v>
      </c>
      <c r="B105" t="s">
        <v>1105</v>
      </c>
      <c r="C105" s="64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1105</v>
      </c>
      <c r="B106" t="s">
        <v>1105</v>
      </c>
      <c r="C106" s="64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341</v>
      </c>
      <c r="B107" t="s">
        <v>1105</v>
      </c>
      <c r="C107" s="64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342</v>
      </c>
      <c r="B108" t="s">
        <v>342</v>
      </c>
      <c r="C108" s="64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421</v>
      </c>
      <c r="B109" t="s">
        <v>342</v>
      </c>
      <c r="C109" s="64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580</v>
      </c>
      <c r="B110" t="s">
        <v>1107</v>
      </c>
      <c r="C110" s="64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452</v>
      </c>
      <c r="B111" t="s">
        <v>1107</v>
      </c>
      <c r="C111" s="64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405</v>
      </c>
      <c r="B112" t="s">
        <v>1107</v>
      </c>
      <c r="C112" s="64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504</v>
      </c>
      <c r="B113" t="s">
        <v>1107</v>
      </c>
      <c r="C113" s="64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295</v>
      </c>
      <c r="B114" t="s">
        <v>1107</v>
      </c>
      <c r="C114" s="64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569</v>
      </c>
      <c r="B115" t="s">
        <v>1107</v>
      </c>
      <c r="C115" s="64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472</v>
      </c>
      <c r="B116" t="s">
        <v>1107</v>
      </c>
      <c r="C116" s="64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327</v>
      </c>
      <c r="B117" t="s">
        <v>1107</v>
      </c>
      <c r="C117" s="64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318</v>
      </c>
      <c r="B118" t="s">
        <v>1107</v>
      </c>
      <c r="C118" s="64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383</v>
      </c>
      <c r="B119" t="s">
        <v>1107</v>
      </c>
      <c r="C119" s="64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387</v>
      </c>
      <c r="B120" t="s">
        <v>1107</v>
      </c>
      <c r="C120" s="64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329</v>
      </c>
      <c r="B121" t="s">
        <v>1107</v>
      </c>
      <c r="C121" s="64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1107</v>
      </c>
      <c r="B122" t="s">
        <v>1107</v>
      </c>
      <c r="C122" s="64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347</v>
      </c>
      <c r="B123" t="s">
        <v>1107</v>
      </c>
      <c r="C123" s="64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346</v>
      </c>
      <c r="B124" t="s">
        <v>1107</v>
      </c>
      <c r="C124" s="64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568</v>
      </c>
      <c r="B125" t="s">
        <v>319</v>
      </c>
      <c r="C125" s="64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319</v>
      </c>
      <c r="B126" t="s">
        <v>319</v>
      </c>
      <c r="C126" s="64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445</v>
      </c>
      <c r="B127" t="s">
        <v>351</v>
      </c>
      <c r="C127" s="64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497</v>
      </c>
      <c r="B128" t="s">
        <v>351</v>
      </c>
      <c r="C128" s="64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354</v>
      </c>
      <c r="B129" t="s">
        <v>351</v>
      </c>
      <c r="C129" s="64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352</v>
      </c>
      <c r="B130" t="s">
        <v>351</v>
      </c>
      <c r="C130" s="64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337</v>
      </c>
      <c r="B131" t="s">
        <v>351</v>
      </c>
      <c r="C131" s="64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358</v>
      </c>
      <c r="B132" t="s">
        <v>351</v>
      </c>
      <c r="C132" s="64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499</v>
      </c>
      <c r="B133" t="s">
        <v>351</v>
      </c>
      <c r="C133" s="64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430</v>
      </c>
      <c r="B134" t="s">
        <v>351</v>
      </c>
      <c r="C134" s="64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429</v>
      </c>
      <c r="B135" t="s">
        <v>351</v>
      </c>
      <c r="C135" s="64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439</v>
      </c>
      <c r="B136" t="s">
        <v>351</v>
      </c>
      <c r="C136" s="64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351</v>
      </c>
      <c r="B137" t="s">
        <v>351</v>
      </c>
      <c r="C137" s="64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374</v>
      </c>
      <c r="B138" t="s">
        <v>351</v>
      </c>
      <c r="C138" s="64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432</v>
      </c>
      <c r="B139" t="s">
        <v>351</v>
      </c>
      <c r="C139" s="64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355</v>
      </c>
      <c r="B140" t="s">
        <v>351</v>
      </c>
      <c r="C140" s="64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567</v>
      </c>
      <c r="B141" t="s">
        <v>351</v>
      </c>
      <c r="C141" s="64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485</v>
      </c>
      <c r="B142" t="s">
        <v>351</v>
      </c>
      <c r="C142" s="64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353</v>
      </c>
      <c r="B143" t="s">
        <v>351</v>
      </c>
      <c r="C143" s="64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524</v>
      </c>
      <c r="B144" t="s">
        <v>351</v>
      </c>
      <c r="C144" s="64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566</v>
      </c>
      <c r="B145" t="s">
        <v>351</v>
      </c>
      <c r="C145" s="64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426</v>
      </c>
      <c r="B146" t="s">
        <v>351</v>
      </c>
      <c r="C146" s="64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476</v>
      </c>
      <c r="B147" t="s">
        <v>351</v>
      </c>
      <c r="C147" s="64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335</v>
      </c>
      <c r="B148" t="s">
        <v>366</v>
      </c>
      <c r="C148" s="64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371</v>
      </c>
      <c r="B149" t="s">
        <v>366</v>
      </c>
      <c r="C149" s="64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378</v>
      </c>
      <c r="B150" t="s">
        <v>366</v>
      </c>
      <c r="C150" s="64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593</v>
      </c>
      <c r="B151" t="s">
        <v>366</v>
      </c>
      <c r="C151" s="64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379</v>
      </c>
      <c r="B152" t="s">
        <v>366</v>
      </c>
      <c r="C152" s="64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338</v>
      </c>
      <c r="B153" t="s">
        <v>366</v>
      </c>
      <c r="C153" s="64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362</v>
      </c>
      <c r="B154" t="s">
        <v>366</v>
      </c>
      <c r="C154" s="64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370</v>
      </c>
      <c r="B155" t="s">
        <v>366</v>
      </c>
      <c r="C155" s="64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368</v>
      </c>
      <c r="B156" t="s">
        <v>366</v>
      </c>
      <c r="C156" s="64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382</v>
      </c>
      <c r="B157" t="s">
        <v>366</v>
      </c>
      <c r="C157" s="64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361</v>
      </c>
      <c r="B158" t="s">
        <v>366</v>
      </c>
      <c r="C158" s="64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364</v>
      </c>
      <c r="B159" t="s">
        <v>366</v>
      </c>
      <c r="C159" s="64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366</v>
      </c>
      <c r="B160" t="s">
        <v>366</v>
      </c>
      <c r="C160" s="64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369</v>
      </c>
      <c r="B161" t="s">
        <v>366</v>
      </c>
      <c r="C161" s="64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365</v>
      </c>
      <c r="B162" t="s">
        <v>366</v>
      </c>
      <c r="C162" s="64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367</v>
      </c>
      <c r="B163" t="s">
        <v>366</v>
      </c>
      <c r="C163" s="64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377</v>
      </c>
      <c r="B164" t="s">
        <v>366</v>
      </c>
      <c r="C164" s="64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363</v>
      </c>
      <c r="B165" t="s">
        <v>366</v>
      </c>
      <c r="C165" s="64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336</v>
      </c>
      <c r="B166" t="s">
        <v>366</v>
      </c>
      <c r="C166" s="64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596</v>
      </c>
      <c r="B167" t="s">
        <v>213</v>
      </c>
      <c r="C167" s="64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64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595</v>
      </c>
      <c r="B169" t="s">
        <v>213</v>
      </c>
      <c r="C169" s="64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594</v>
      </c>
      <c r="B170" t="s">
        <v>213</v>
      </c>
      <c r="C170" s="64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359</v>
      </c>
      <c r="B171" t="s">
        <v>1390</v>
      </c>
      <c r="C171" s="64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394</v>
      </c>
      <c r="B172" t="s">
        <v>1390</v>
      </c>
      <c r="C172" s="64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395</v>
      </c>
      <c r="B173" t="s">
        <v>1390</v>
      </c>
      <c r="C173" s="64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1390</v>
      </c>
      <c r="B174" t="s">
        <v>1390</v>
      </c>
      <c r="C174" s="64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381</v>
      </c>
      <c r="B175" t="s">
        <v>1390</v>
      </c>
      <c r="C175" s="64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380</v>
      </c>
      <c r="B176" t="s">
        <v>1390</v>
      </c>
      <c r="C176" s="64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396</v>
      </c>
      <c r="B177" t="s">
        <v>1390</v>
      </c>
      <c r="C177" s="64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486</v>
      </c>
      <c r="B178" t="s">
        <v>1390</v>
      </c>
      <c r="C178" s="64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385</v>
      </c>
      <c r="B179" t="s">
        <v>385</v>
      </c>
      <c r="C179" s="64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384</v>
      </c>
      <c r="B180" t="s">
        <v>385</v>
      </c>
      <c r="C180" s="64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386</v>
      </c>
      <c r="B181" t="s">
        <v>385</v>
      </c>
      <c r="C181" s="64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349</v>
      </c>
      <c r="B182" t="s">
        <v>385</v>
      </c>
      <c r="C182" s="64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466</v>
      </c>
      <c r="B183" t="s">
        <v>385</v>
      </c>
      <c r="C183" s="64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457</v>
      </c>
      <c r="B184" t="s">
        <v>385</v>
      </c>
      <c r="C184" s="64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559</v>
      </c>
      <c r="B185" t="s">
        <v>385</v>
      </c>
      <c r="C185" s="64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456</v>
      </c>
      <c r="B186" t="s">
        <v>385</v>
      </c>
      <c r="C186" s="64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459</v>
      </c>
      <c r="B187" t="s">
        <v>385</v>
      </c>
      <c r="C187" s="64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389</v>
      </c>
      <c r="B188" t="s">
        <v>389</v>
      </c>
      <c r="C188" s="64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388</v>
      </c>
      <c r="B189" t="s">
        <v>389</v>
      </c>
      <c r="C189" s="64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467</v>
      </c>
      <c r="B190" t="s">
        <v>389</v>
      </c>
      <c r="C190" s="64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448</v>
      </c>
      <c r="B191" t="s">
        <v>389</v>
      </c>
      <c r="C191" s="64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390</v>
      </c>
      <c r="B192" t="s">
        <v>389</v>
      </c>
      <c r="C192" s="64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510</v>
      </c>
      <c r="B193" t="s">
        <v>389</v>
      </c>
      <c r="C193" s="64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1391</v>
      </c>
      <c r="B194" t="s">
        <v>1391</v>
      </c>
      <c r="C194" s="64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391</v>
      </c>
      <c r="B195" t="s">
        <v>1391</v>
      </c>
      <c r="C195" s="64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597</v>
      </c>
      <c r="B196" t="s">
        <v>206</v>
      </c>
      <c r="C196" s="64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604</v>
      </c>
      <c r="B197" t="s">
        <v>206</v>
      </c>
      <c r="C197" s="64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599</v>
      </c>
      <c r="B198" t="s">
        <v>206</v>
      </c>
      <c r="C198" s="64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606</v>
      </c>
      <c r="B199" t="s">
        <v>206</v>
      </c>
      <c r="C199" s="64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601</v>
      </c>
      <c r="B200" t="s">
        <v>206</v>
      </c>
      <c r="C200" s="64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605</v>
      </c>
      <c r="B201" t="s">
        <v>206</v>
      </c>
      <c r="C201" s="64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598</v>
      </c>
      <c r="B202" t="s">
        <v>206</v>
      </c>
      <c r="C202" s="64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64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600</v>
      </c>
      <c r="B204" t="s">
        <v>206</v>
      </c>
      <c r="C204" s="64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602</v>
      </c>
      <c r="B205" t="s">
        <v>206</v>
      </c>
      <c r="C205" s="64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603</v>
      </c>
      <c r="B206" t="s">
        <v>206</v>
      </c>
      <c r="C206" s="64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316</v>
      </c>
      <c r="B207" t="s">
        <v>223</v>
      </c>
      <c r="C207" s="64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315</v>
      </c>
      <c r="B208" t="s">
        <v>223</v>
      </c>
      <c r="C208" s="64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317</v>
      </c>
      <c r="B209" t="s">
        <v>223</v>
      </c>
      <c r="C209" s="64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306</v>
      </c>
      <c r="B210" t="s">
        <v>223</v>
      </c>
      <c r="C210" s="64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314</v>
      </c>
      <c r="B211" t="s">
        <v>223</v>
      </c>
      <c r="C211" s="64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307</v>
      </c>
      <c r="B212" t="s">
        <v>223</v>
      </c>
      <c r="C212" s="64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299</v>
      </c>
      <c r="B213" t="s">
        <v>223</v>
      </c>
      <c r="C213" s="64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304</v>
      </c>
      <c r="B214" t="s">
        <v>223</v>
      </c>
      <c r="C214" s="64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305</v>
      </c>
      <c r="B215" t="s">
        <v>223</v>
      </c>
      <c r="C215" s="64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64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301</v>
      </c>
      <c r="B217" t="s">
        <v>223</v>
      </c>
      <c r="C217" s="64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302</v>
      </c>
      <c r="B218" t="s">
        <v>223</v>
      </c>
      <c r="C218" s="64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303</v>
      </c>
      <c r="B219" t="s">
        <v>223</v>
      </c>
      <c r="C219" s="64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311</v>
      </c>
      <c r="B220" t="s">
        <v>224</v>
      </c>
      <c r="C220" s="64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309</v>
      </c>
      <c r="B221" t="s">
        <v>224</v>
      </c>
      <c r="C221" s="64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308</v>
      </c>
      <c r="B222" t="s">
        <v>224</v>
      </c>
      <c r="C222" s="64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313</v>
      </c>
      <c r="B223" t="s">
        <v>224</v>
      </c>
      <c r="C223" s="64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310</v>
      </c>
      <c r="B224" t="s">
        <v>224</v>
      </c>
      <c r="C224" s="64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312</v>
      </c>
      <c r="B225" t="s">
        <v>224</v>
      </c>
      <c r="C225" s="64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300</v>
      </c>
      <c r="B226" t="s">
        <v>224</v>
      </c>
      <c r="C226" s="64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298</v>
      </c>
      <c r="B227" t="s">
        <v>224</v>
      </c>
      <c r="C227" s="64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64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471</v>
      </c>
      <c r="B229" t="s">
        <v>471</v>
      </c>
      <c r="C229" s="64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412</v>
      </c>
      <c r="B230" t="s">
        <v>471</v>
      </c>
      <c r="C230" s="64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419</v>
      </c>
      <c r="B231" t="s">
        <v>471</v>
      </c>
      <c r="C231" s="64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438</v>
      </c>
      <c r="B232" t="s">
        <v>471</v>
      </c>
      <c r="C232" s="64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442</v>
      </c>
      <c r="B233" t="s">
        <v>296</v>
      </c>
      <c r="C233" s="64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296</v>
      </c>
      <c r="B234" t="s">
        <v>296</v>
      </c>
      <c r="C234" s="64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479</v>
      </c>
      <c r="B235" t="s">
        <v>296</v>
      </c>
      <c r="C235" s="64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480</v>
      </c>
      <c r="B236" t="s">
        <v>296</v>
      </c>
      <c r="C236" s="64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376</v>
      </c>
      <c r="B237" t="s">
        <v>375</v>
      </c>
      <c r="C237" s="64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375</v>
      </c>
      <c r="B238" t="s">
        <v>375</v>
      </c>
      <c r="C238" s="64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555</v>
      </c>
      <c r="B239" t="s">
        <v>1109</v>
      </c>
      <c r="C239" s="64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402</v>
      </c>
      <c r="B240" t="s">
        <v>1109</v>
      </c>
      <c r="C240" s="64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523</v>
      </c>
      <c r="B241" t="s">
        <v>1109</v>
      </c>
      <c r="C241" s="64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320</v>
      </c>
      <c r="B242" t="s">
        <v>1109</v>
      </c>
      <c r="C242" s="64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1109</v>
      </c>
      <c r="B243" t="s">
        <v>1109</v>
      </c>
      <c r="C243" s="64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503</v>
      </c>
      <c r="B244" t="s">
        <v>1109</v>
      </c>
      <c r="C244" s="64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409</v>
      </c>
      <c r="B245" t="s">
        <v>1109</v>
      </c>
      <c r="C245" s="64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511</v>
      </c>
      <c r="B246" t="s">
        <v>1109</v>
      </c>
      <c r="C246" s="64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512</v>
      </c>
      <c r="B247" t="s">
        <v>1109</v>
      </c>
      <c r="C247" s="64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449</v>
      </c>
      <c r="B248" t="s">
        <v>1109</v>
      </c>
      <c r="C248" s="64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417</v>
      </c>
      <c r="B249" t="s">
        <v>1109</v>
      </c>
      <c r="C249" s="64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514</v>
      </c>
      <c r="B250" t="s">
        <v>1111</v>
      </c>
      <c r="C250" s="64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461</v>
      </c>
      <c r="B251" t="s">
        <v>1111</v>
      </c>
      <c r="C251" s="64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493</v>
      </c>
      <c r="B252" t="s">
        <v>1111</v>
      </c>
      <c r="C252" s="64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528</v>
      </c>
      <c r="B253" s="23" t="s">
        <v>528</v>
      </c>
      <c r="C253" s="103" t="str">
        <f>VLOOKUP(A253,Classification!$A:$D,2,FALSE)</f>
        <v>A</v>
      </c>
      <c r="D253" s="106" t="str">
        <f>VLOOKUP(B253,Classification!$A:$D,2,FALSE)</f>
        <v>A</v>
      </c>
      <c r="E253" s="106" t="str">
        <f t="shared" si="3"/>
        <v>Ok</v>
      </c>
    </row>
    <row r="254" spans="1:5" x14ac:dyDescent="0.2">
      <c r="A254" t="s">
        <v>1111</v>
      </c>
      <c r="B254" t="s">
        <v>1111</v>
      </c>
      <c r="C254" s="64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577</v>
      </c>
      <c r="B255" t="s">
        <v>1111</v>
      </c>
      <c r="C255" s="64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553</v>
      </c>
      <c r="B256" t="s">
        <v>1111</v>
      </c>
      <c r="C256" s="64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393</v>
      </c>
      <c r="B257" t="s">
        <v>529</v>
      </c>
      <c r="C257" s="64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444</v>
      </c>
      <c r="B258" t="s">
        <v>529</v>
      </c>
      <c r="C258" s="64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357</v>
      </c>
      <c r="B259" t="s">
        <v>529</v>
      </c>
      <c r="C259" s="64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501</v>
      </c>
      <c r="B260" t="s">
        <v>529</v>
      </c>
      <c r="C260" s="64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529</v>
      </c>
      <c r="B261" t="s">
        <v>529</v>
      </c>
      <c r="C261" s="64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535</v>
      </c>
      <c r="B262" t="s">
        <v>529</v>
      </c>
      <c r="C262" s="64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398</v>
      </c>
      <c r="B263" t="s">
        <v>1113</v>
      </c>
      <c r="C263" s="64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575</v>
      </c>
      <c r="B264" t="s">
        <v>1113</v>
      </c>
      <c r="C264" s="64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578</v>
      </c>
      <c r="B265" t="s">
        <v>1113</v>
      </c>
      <c r="C265" s="64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1113</v>
      </c>
      <c r="B266" t="s">
        <v>1113</v>
      </c>
      <c r="C266" s="64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530</v>
      </c>
      <c r="B267" t="s">
        <v>1113</v>
      </c>
      <c r="C267" s="64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574</v>
      </c>
      <c r="B268" t="s">
        <v>1113</v>
      </c>
      <c r="C268" s="64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590</v>
      </c>
      <c r="B269" t="s">
        <v>1113</v>
      </c>
      <c r="C269" s="64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400</v>
      </c>
      <c r="B270" t="s">
        <v>1113</v>
      </c>
      <c r="C270" s="64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399</v>
      </c>
      <c r="B271" t="s">
        <v>1113</v>
      </c>
      <c r="C271" s="64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403</v>
      </c>
      <c r="B272" t="s">
        <v>1113</v>
      </c>
      <c r="C272" s="64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410</v>
      </c>
      <c r="B273" t="s">
        <v>1392</v>
      </c>
      <c r="C273" s="64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513</v>
      </c>
      <c r="B274" t="s">
        <v>1392</v>
      </c>
      <c r="C274" s="64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492</v>
      </c>
      <c r="B275" t="s">
        <v>1392</v>
      </c>
      <c r="C275" s="64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592</v>
      </c>
      <c r="B276" t="s">
        <v>1392</v>
      </c>
      <c r="C276" s="64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411</v>
      </c>
      <c r="B277" t="s">
        <v>1392</v>
      </c>
      <c r="C277" s="64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1392</v>
      </c>
      <c r="B278" t="s">
        <v>1392</v>
      </c>
      <c r="C278" s="64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589</v>
      </c>
      <c r="B279" t="s">
        <v>1392</v>
      </c>
      <c r="C279" s="64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475</v>
      </c>
      <c r="B280" t="s">
        <v>1392</v>
      </c>
      <c r="C280" s="64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587</v>
      </c>
      <c r="B281" t="s">
        <v>1392</v>
      </c>
      <c r="C281" s="64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591</v>
      </c>
      <c r="B282" t="s">
        <v>1392</v>
      </c>
      <c r="C282" s="64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576</v>
      </c>
      <c r="B283" t="s">
        <v>1392</v>
      </c>
      <c r="C283" s="64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1115</v>
      </c>
      <c r="B284" t="s">
        <v>1115</v>
      </c>
      <c r="C284" s="64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525</v>
      </c>
      <c r="B285" t="s">
        <v>1115</v>
      </c>
      <c r="C285" s="64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532</v>
      </c>
      <c r="B286" t="s">
        <v>532</v>
      </c>
      <c r="C286" s="64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533</v>
      </c>
      <c r="B287" t="s">
        <v>532</v>
      </c>
      <c r="C287" s="64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534</v>
      </c>
      <c r="B288" t="s">
        <v>532</v>
      </c>
      <c r="C288" s="64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531</v>
      </c>
      <c r="B289" t="s">
        <v>532</v>
      </c>
      <c r="C289" s="64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478</v>
      </c>
      <c r="B290" t="s">
        <v>532</v>
      </c>
      <c r="C290" s="64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527</v>
      </c>
      <c r="B291" t="s">
        <v>1117</v>
      </c>
      <c r="C291" s="64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526</v>
      </c>
      <c r="B292" t="s">
        <v>1117</v>
      </c>
      <c r="C292" s="64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1117</v>
      </c>
      <c r="B293" t="s">
        <v>1117</v>
      </c>
      <c r="C293" s="64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463</v>
      </c>
      <c r="B294" t="s">
        <v>1393</v>
      </c>
      <c r="C294" s="64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519</v>
      </c>
      <c r="B295" t="s">
        <v>1393</v>
      </c>
      <c r="C295" s="64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537</v>
      </c>
      <c r="B296" t="s">
        <v>1393</v>
      </c>
      <c r="C296" s="64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1393</v>
      </c>
      <c r="B297" t="s">
        <v>1393</v>
      </c>
      <c r="C297" s="64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460</v>
      </c>
      <c r="B298" t="s">
        <v>1393</v>
      </c>
      <c r="C298" s="64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415</v>
      </c>
      <c r="B299" t="s">
        <v>1393</v>
      </c>
      <c r="C299" s="64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516</v>
      </c>
      <c r="B300" t="s">
        <v>1393</v>
      </c>
      <c r="C300" s="64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508</v>
      </c>
      <c r="B301" t="s">
        <v>1393</v>
      </c>
      <c r="C301" s="64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408</v>
      </c>
      <c r="B302" t="s">
        <v>1393</v>
      </c>
      <c r="C302" s="64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425</v>
      </c>
      <c r="B303" t="s">
        <v>1393</v>
      </c>
      <c r="C303" s="64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521</v>
      </c>
      <c r="B304" t="s">
        <v>1394</v>
      </c>
      <c r="C304" s="64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562</v>
      </c>
      <c r="B305" t="s">
        <v>1394</v>
      </c>
      <c r="C305" s="64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552</v>
      </c>
      <c r="B306" t="s">
        <v>1394</v>
      </c>
      <c r="C306" s="64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517</v>
      </c>
      <c r="B307" t="s">
        <v>1394</v>
      </c>
      <c r="C307" s="64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440</v>
      </c>
      <c r="B308" t="s">
        <v>1394</v>
      </c>
      <c r="C308" s="64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453</v>
      </c>
      <c r="B309" t="s">
        <v>1394</v>
      </c>
      <c r="C309" s="64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437</v>
      </c>
      <c r="B310" t="s">
        <v>1394</v>
      </c>
      <c r="C310" s="64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561</v>
      </c>
      <c r="B311" t="s">
        <v>1394</v>
      </c>
      <c r="C311" s="64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560</v>
      </c>
      <c r="B312" t="s">
        <v>1394</v>
      </c>
      <c r="C312" s="64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520</v>
      </c>
      <c r="B313" t="s">
        <v>1394</v>
      </c>
      <c r="C313" s="64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505</v>
      </c>
      <c r="B314" t="s">
        <v>1394</v>
      </c>
      <c r="C314" s="64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401</v>
      </c>
      <c r="B315" t="s">
        <v>1394</v>
      </c>
      <c r="C315" s="64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360</v>
      </c>
      <c r="B316" t="s">
        <v>1394</v>
      </c>
      <c r="C316" s="64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518</v>
      </c>
      <c r="B317" t="s">
        <v>1394</v>
      </c>
      <c r="C317" s="64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356</v>
      </c>
      <c r="B318" t="s">
        <v>1394</v>
      </c>
      <c r="C318" s="64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462</v>
      </c>
      <c r="B319" t="s">
        <v>1394</v>
      </c>
      <c r="C319" s="64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1394</v>
      </c>
      <c r="B320" t="s">
        <v>1394</v>
      </c>
      <c r="C320" s="64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435</v>
      </c>
      <c r="B321" t="s">
        <v>1394</v>
      </c>
      <c r="C321" s="64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565</v>
      </c>
      <c r="B322" t="s">
        <v>1394</v>
      </c>
      <c r="C322" s="64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515</v>
      </c>
      <c r="B323" t="s">
        <v>1394</v>
      </c>
      <c r="C323" s="64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507</v>
      </c>
      <c r="B324" t="s">
        <v>1394</v>
      </c>
      <c r="C324" s="64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509</v>
      </c>
      <c r="B325" t="s">
        <v>1394</v>
      </c>
      <c r="C325" s="64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416</v>
      </c>
      <c r="B326" t="s">
        <v>1394</v>
      </c>
      <c r="C326" s="64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418</v>
      </c>
      <c r="B327" t="s">
        <v>1394</v>
      </c>
      <c r="C327" s="64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506</v>
      </c>
      <c r="B328" t="s">
        <v>1394</v>
      </c>
      <c r="C328" s="64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522</v>
      </c>
      <c r="B329" t="s">
        <v>1394</v>
      </c>
      <c r="C329" s="64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541</v>
      </c>
      <c r="B330" t="s">
        <v>538</v>
      </c>
      <c r="C330" s="64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543</v>
      </c>
      <c r="B331" t="s">
        <v>538</v>
      </c>
      <c r="C331" s="64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536</v>
      </c>
      <c r="B332" t="s">
        <v>538</v>
      </c>
      <c r="C332" s="64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443</v>
      </c>
      <c r="B333" t="s">
        <v>538</v>
      </c>
      <c r="C333" s="64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579</v>
      </c>
      <c r="B334" t="s">
        <v>538</v>
      </c>
      <c r="C334" s="64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424</v>
      </c>
      <c r="B335" t="s">
        <v>538</v>
      </c>
      <c r="C335" s="64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373</v>
      </c>
      <c r="B336" t="s">
        <v>538</v>
      </c>
      <c r="C336" s="64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372</v>
      </c>
      <c r="B337" t="s">
        <v>538</v>
      </c>
      <c r="C337" s="64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433</v>
      </c>
      <c r="B338" t="s">
        <v>538</v>
      </c>
      <c r="C338" s="64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494</v>
      </c>
      <c r="B339" t="s">
        <v>538</v>
      </c>
      <c r="C339" s="64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434</v>
      </c>
      <c r="B340" t="s">
        <v>538</v>
      </c>
      <c r="C340" s="64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487</v>
      </c>
      <c r="B341" t="s">
        <v>538</v>
      </c>
      <c r="C341" s="64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563</v>
      </c>
      <c r="B342" t="s">
        <v>538</v>
      </c>
      <c r="C342" s="64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538</v>
      </c>
      <c r="B343" t="s">
        <v>538</v>
      </c>
      <c r="C343" s="64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498</v>
      </c>
      <c r="B344" t="s">
        <v>538</v>
      </c>
      <c r="C344" s="64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483</v>
      </c>
      <c r="B345" t="s">
        <v>538</v>
      </c>
      <c r="C345" s="64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496</v>
      </c>
      <c r="B346" t="s">
        <v>538</v>
      </c>
      <c r="C346" s="64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544</v>
      </c>
      <c r="B347" t="s">
        <v>538</v>
      </c>
      <c r="C347" s="64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481</v>
      </c>
      <c r="B348" t="s">
        <v>538</v>
      </c>
      <c r="C348" s="64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540</v>
      </c>
      <c r="B349" t="s">
        <v>538</v>
      </c>
      <c r="C349" s="64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488</v>
      </c>
      <c r="B350" t="s">
        <v>538</v>
      </c>
      <c r="C350" s="64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468</v>
      </c>
      <c r="B351" t="s">
        <v>538</v>
      </c>
      <c r="C351" s="64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469</v>
      </c>
      <c r="B352" t="s">
        <v>538</v>
      </c>
      <c r="C352" s="64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539</v>
      </c>
      <c r="B353" t="s">
        <v>538</v>
      </c>
      <c r="C353" s="64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407</v>
      </c>
      <c r="B354" t="s">
        <v>538</v>
      </c>
      <c r="C354" s="64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482</v>
      </c>
      <c r="B355" t="s">
        <v>538</v>
      </c>
      <c r="C355" s="64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450</v>
      </c>
      <c r="B356" t="s">
        <v>538</v>
      </c>
      <c r="C356" s="64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470</v>
      </c>
      <c r="B357" t="s">
        <v>538</v>
      </c>
      <c r="C357" s="64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422</v>
      </c>
      <c r="B358" t="s">
        <v>545</v>
      </c>
      <c r="C358" s="64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546</v>
      </c>
      <c r="B359" t="s">
        <v>545</v>
      </c>
      <c r="C359" s="64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547</v>
      </c>
      <c r="B360" t="s">
        <v>545</v>
      </c>
      <c r="C360" s="64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545</v>
      </c>
      <c r="B361" t="s">
        <v>545</v>
      </c>
      <c r="C361" s="64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465</v>
      </c>
      <c r="B362" t="s">
        <v>545</v>
      </c>
      <c r="C362" s="64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500</v>
      </c>
      <c r="B363" t="s">
        <v>545</v>
      </c>
      <c r="C363" s="64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564</v>
      </c>
      <c r="B364" t="s">
        <v>545</v>
      </c>
      <c r="C364" s="64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427</v>
      </c>
      <c r="B365" t="s">
        <v>545</v>
      </c>
      <c r="C365" s="64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558</v>
      </c>
      <c r="B366" t="s">
        <v>545</v>
      </c>
      <c r="C366" s="64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446</v>
      </c>
      <c r="B367" t="s">
        <v>545</v>
      </c>
      <c r="C367" s="64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557</v>
      </c>
      <c r="B368" t="s">
        <v>545</v>
      </c>
      <c r="C368" s="64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550</v>
      </c>
      <c r="B369" t="s">
        <v>548</v>
      </c>
      <c r="C369" s="64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454</v>
      </c>
      <c r="B370" t="s">
        <v>548</v>
      </c>
      <c r="C370" s="64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447</v>
      </c>
      <c r="B371" t="s">
        <v>548</v>
      </c>
      <c r="C371" s="64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495</v>
      </c>
      <c r="B372" t="s">
        <v>548</v>
      </c>
      <c r="C372" s="64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551</v>
      </c>
      <c r="B373" t="s">
        <v>548</v>
      </c>
      <c r="C373" s="64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549</v>
      </c>
      <c r="B374" t="s">
        <v>548</v>
      </c>
      <c r="C374" s="64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548</v>
      </c>
      <c r="B375" t="s">
        <v>548</v>
      </c>
      <c r="C375" s="64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436</v>
      </c>
      <c r="B376" t="s">
        <v>548</v>
      </c>
      <c r="C376" s="64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542</v>
      </c>
      <c r="B377" t="s">
        <v>548</v>
      </c>
      <c r="C377" s="64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392</v>
      </c>
      <c r="B378" t="s">
        <v>548</v>
      </c>
      <c r="C378" s="64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451</v>
      </c>
      <c r="B379" t="s">
        <v>548</v>
      </c>
      <c r="C379" s="64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502</v>
      </c>
      <c r="B380" t="s">
        <v>297</v>
      </c>
      <c r="C380" s="64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344</v>
      </c>
      <c r="B381" t="s">
        <v>297</v>
      </c>
      <c r="C381" s="64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489</v>
      </c>
      <c r="B382" t="s">
        <v>297</v>
      </c>
      <c r="C382" s="64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490</v>
      </c>
      <c r="B383" t="s">
        <v>297</v>
      </c>
      <c r="C383" s="64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431</v>
      </c>
      <c r="B384" t="s">
        <v>297</v>
      </c>
      <c r="C384" s="64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455</v>
      </c>
      <c r="B385" t="s">
        <v>297</v>
      </c>
      <c r="C385" s="64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556</v>
      </c>
      <c r="B386" t="s">
        <v>297</v>
      </c>
      <c r="C386" s="64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667</v>
      </c>
      <c r="B387" t="s">
        <v>297</v>
      </c>
      <c r="C387" s="64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406</v>
      </c>
      <c r="B388" t="s">
        <v>297</v>
      </c>
      <c r="C388" s="64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570</v>
      </c>
      <c r="B389" t="s">
        <v>297</v>
      </c>
      <c r="C389" s="64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297</v>
      </c>
      <c r="B390" t="s">
        <v>297</v>
      </c>
      <c r="C390" s="64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572</v>
      </c>
      <c r="B391" t="s">
        <v>297</v>
      </c>
      <c r="C391" s="64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571</v>
      </c>
      <c r="B392" t="s">
        <v>297</v>
      </c>
      <c r="C392" s="64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573</v>
      </c>
      <c r="B393" t="s">
        <v>297</v>
      </c>
      <c r="C393" s="64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642</v>
      </c>
      <c r="B394" t="s">
        <v>207</v>
      </c>
      <c r="C394" s="64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647</v>
      </c>
      <c r="B395" t="s">
        <v>207</v>
      </c>
      <c r="C395" s="64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640</v>
      </c>
      <c r="B396" t="s">
        <v>207</v>
      </c>
      <c r="C396" s="64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644</v>
      </c>
      <c r="B397" t="s">
        <v>207</v>
      </c>
      <c r="C397" s="64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641</v>
      </c>
      <c r="B398" t="s">
        <v>207</v>
      </c>
      <c r="C398" s="64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649</v>
      </c>
      <c r="B399" t="s">
        <v>207</v>
      </c>
      <c r="C399" s="64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645</v>
      </c>
      <c r="B400" t="s">
        <v>207</v>
      </c>
      <c r="C400" s="64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648</v>
      </c>
      <c r="B401" t="s">
        <v>207</v>
      </c>
      <c r="C401" s="64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643</v>
      </c>
      <c r="B402" t="s">
        <v>207</v>
      </c>
      <c r="C402" s="64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646</v>
      </c>
      <c r="B403" t="s">
        <v>207</v>
      </c>
      <c r="C403" s="64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64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1119</v>
      </c>
      <c r="B405" t="s">
        <v>1119</v>
      </c>
      <c r="C405" s="64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414</v>
      </c>
      <c r="B406" t="s">
        <v>1119</v>
      </c>
      <c r="C406" s="64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5">
      <c r="A1" s="17" t="s">
        <v>294</v>
      </c>
      <c r="B1" s="17" t="s">
        <v>1128</v>
      </c>
      <c r="C1" s="17" t="s">
        <v>1131</v>
      </c>
      <c r="D1" s="17" t="s">
        <v>1132</v>
      </c>
    </row>
    <row r="2" spans="1:4" x14ac:dyDescent="0.25">
      <c r="A2" s="3" t="s">
        <v>321</v>
      </c>
      <c r="B2" s="3" t="s">
        <v>9</v>
      </c>
      <c r="C2" s="3" t="s">
        <v>10</v>
      </c>
      <c r="D2" s="3" t="s">
        <v>1133</v>
      </c>
    </row>
    <row r="3" spans="1:4" x14ac:dyDescent="0.25">
      <c r="A3" s="3" t="s">
        <v>208</v>
      </c>
      <c r="B3" s="3" t="s">
        <v>9</v>
      </c>
      <c r="C3" s="3" t="s">
        <v>10</v>
      </c>
      <c r="D3" s="3" t="s">
        <v>1133</v>
      </c>
    </row>
    <row r="4" spans="1:4" x14ac:dyDescent="0.25">
      <c r="A4" s="3" t="s">
        <v>322</v>
      </c>
      <c r="B4" s="3" t="s">
        <v>9</v>
      </c>
      <c r="C4" s="3" t="s">
        <v>10</v>
      </c>
      <c r="D4" s="3" t="s">
        <v>1133</v>
      </c>
    </row>
    <row r="5" spans="1:4" x14ac:dyDescent="0.25">
      <c r="A5" s="3" t="s">
        <v>323</v>
      </c>
      <c r="B5" s="3" t="s">
        <v>9</v>
      </c>
      <c r="C5" s="3" t="s">
        <v>10</v>
      </c>
      <c r="D5" s="3" t="s">
        <v>1133</v>
      </c>
    </row>
    <row r="6" spans="1:4" x14ac:dyDescent="0.25">
      <c r="A6" s="3" t="s">
        <v>324</v>
      </c>
      <c r="B6" s="3" t="s">
        <v>9</v>
      </c>
      <c r="C6" s="3" t="s">
        <v>10</v>
      </c>
      <c r="D6" s="3" t="s">
        <v>1133</v>
      </c>
    </row>
    <row r="7" spans="1:4" x14ac:dyDescent="0.25">
      <c r="A7" s="3" t="s">
        <v>325</v>
      </c>
      <c r="B7" s="3" t="s">
        <v>9</v>
      </c>
      <c r="C7" s="3" t="s">
        <v>10</v>
      </c>
      <c r="D7" s="3" t="s">
        <v>1133</v>
      </c>
    </row>
    <row r="8" spans="1:4" x14ac:dyDescent="0.25">
      <c r="A8" s="3" t="s">
        <v>209</v>
      </c>
      <c r="B8" s="3" t="s">
        <v>9</v>
      </c>
      <c r="C8" s="3" t="s">
        <v>10</v>
      </c>
      <c r="D8" s="3" t="s">
        <v>1133</v>
      </c>
    </row>
    <row r="9" spans="1:4" x14ac:dyDescent="0.25">
      <c r="A9" s="3" t="s">
        <v>326</v>
      </c>
      <c r="B9" s="3" t="s">
        <v>9</v>
      </c>
      <c r="C9" s="3" t="s">
        <v>10</v>
      </c>
      <c r="D9" s="3" t="s">
        <v>1133</v>
      </c>
    </row>
    <row r="10" spans="1:4" x14ac:dyDescent="0.25">
      <c r="A10" s="3" t="s">
        <v>327</v>
      </c>
      <c r="B10" s="3" t="s">
        <v>9</v>
      </c>
      <c r="C10" s="3" t="s">
        <v>10</v>
      </c>
      <c r="D10" s="3" t="s">
        <v>1133</v>
      </c>
    </row>
    <row r="11" spans="1:4" x14ac:dyDescent="0.25">
      <c r="A11" s="3" t="s">
        <v>328</v>
      </c>
      <c r="B11" s="3" t="s">
        <v>9</v>
      </c>
      <c r="C11" s="3" t="s">
        <v>10</v>
      </c>
      <c r="D11" s="3" t="s">
        <v>1133</v>
      </c>
    </row>
    <row r="12" spans="1:4" x14ac:dyDescent="0.25">
      <c r="A12" s="3" t="s">
        <v>329</v>
      </c>
      <c r="B12" s="3" t="s">
        <v>9</v>
      </c>
      <c r="C12" s="3" t="s">
        <v>10</v>
      </c>
      <c r="D12" s="3" t="s">
        <v>1133</v>
      </c>
    </row>
    <row r="13" spans="1:4" x14ac:dyDescent="0.25">
      <c r="A13" s="3" t="s">
        <v>330</v>
      </c>
      <c r="B13" s="3" t="s">
        <v>9</v>
      </c>
      <c r="C13" s="3" t="s">
        <v>10</v>
      </c>
      <c r="D13" s="3" t="s">
        <v>1133</v>
      </c>
    </row>
    <row r="14" spans="1:4" x14ac:dyDescent="0.25">
      <c r="A14" s="3" t="s">
        <v>339</v>
      </c>
      <c r="B14" s="3" t="s">
        <v>9</v>
      </c>
      <c r="C14" s="3" t="s">
        <v>10</v>
      </c>
      <c r="D14" s="3" t="s">
        <v>1135</v>
      </c>
    </row>
    <row r="15" spans="1:4" x14ac:dyDescent="0.25">
      <c r="A15" s="3" t="s">
        <v>340</v>
      </c>
      <c r="B15" s="3" t="s">
        <v>9</v>
      </c>
      <c r="C15" s="3" t="s">
        <v>10</v>
      </c>
      <c r="D15" s="3" t="s">
        <v>1135</v>
      </c>
    </row>
    <row r="16" spans="1:4" x14ac:dyDescent="0.25">
      <c r="A16" s="3" t="s">
        <v>341</v>
      </c>
      <c r="B16" s="3" t="s">
        <v>9</v>
      </c>
      <c r="C16" s="3" t="s">
        <v>10</v>
      </c>
      <c r="D16" s="3" t="s">
        <v>1135</v>
      </c>
    </row>
    <row r="17" spans="1:4" x14ac:dyDescent="0.25">
      <c r="A17" s="3" t="s">
        <v>236</v>
      </c>
      <c r="B17" s="3" t="s">
        <v>9</v>
      </c>
      <c r="C17" s="3" t="s">
        <v>10</v>
      </c>
      <c r="D17" s="3" t="s">
        <v>1135</v>
      </c>
    </row>
    <row r="18" spans="1:4" x14ac:dyDescent="0.25">
      <c r="A18" s="3" t="s">
        <v>342</v>
      </c>
      <c r="B18" s="3" t="s">
        <v>9</v>
      </c>
      <c r="C18" s="3" t="s">
        <v>10</v>
      </c>
      <c r="D18" s="3" t="s">
        <v>1135</v>
      </c>
    </row>
    <row r="19" spans="1:4" x14ac:dyDescent="0.25">
      <c r="A19" s="3" t="s">
        <v>343</v>
      </c>
      <c r="B19" s="3" t="s">
        <v>9</v>
      </c>
      <c r="C19" s="3" t="s">
        <v>10</v>
      </c>
      <c r="D19" s="3" t="s">
        <v>1135</v>
      </c>
    </row>
    <row r="20" spans="1:4" x14ac:dyDescent="0.25">
      <c r="A20" s="3" t="s">
        <v>331</v>
      </c>
      <c r="B20" s="3" t="s">
        <v>9</v>
      </c>
      <c r="C20" s="3" t="s">
        <v>1134</v>
      </c>
      <c r="D20" s="3" t="s">
        <v>63</v>
      </c>
    </row>
    <row r="21" spans="1:4" x14ac:dyDescent="0.25">
      <c r="A21" s="3" t="s">
        <v>332</v>
      </c>
      <c r="B21" s="3" t="s">
        <v>9</v>
      </c>
      <c r="C21" s="3" t="s">
        <v>1134</v>
      </c>
      <c r="D21" s="3" t="s">
        <v>63</v>
      </c>
    </row>
    <row r="22" spans="1:4" x14ac:dyDescent="0.25">
      <c r="A22" s="3" t="s">
        <v>333</v>
      </c>
      <c r="B22" s="3" t="s">
        <v>9</v>
      </c>
      <c r="C22" s="3" t="s">
        <v>1134</v>
      </c>
      <c r="D22" s="3" t="s">
        <v>63</v>
      </c>
    </row>
    <row r="23" spans="1:4" x14ac:dyDescent="0.25">
      <c r="A23" s="3" t="s">
        <v>334</v>
      </c>
      <c r="B23" s="3" t="s">
        <v>9</v>
      </c>
      <c r="C23" s="3" t="s">
        <v>1134</v>
      </c>
      <c r="D23" s="3" t="s">
        <v>63</v>
      </c>
    </row>
    <row r="24" spans="1:4" x14ac:dyDescent="0.25">
      <c r="A24" s="3" t="s">
        <v>607</v>
      </c>
      <c r="B24" s="3" t="s">
        <v>1140</v>
      </c>
      <c r="C24" s="3" t="s">
        <v>1141</v>
      </c>
      <c r="D24" s="3" t="s">
        <v>1142</v>
      </c>
    </row>
    <row r="25" spans="1:4" x14ac:dyDescent="0.25">
      <c r="A25" s="3" t="s">
        <v>608</v>
      </c>
      <c r="B25" s="3" t="s">
        <v>1140</v>
      </c>
      <c r="C25" s="3" t="s">
        <v>1141</v>
      </c>
      <c r="D25" s="3" t="s">
        <v>1142</v>
      </c>
    </row>
    <row r="26" spans="1:4" x14ac:dyDescent="0.25">
      <c r="A26" s="3" t="s">
        <v>609</v>
      </c>
      <c r="B26" s="3" t="s">
        <v>1140</v>
      </c>
      <c r="C26" s="3" t="s">
        <v>1141</v>
      </c>
      <c r="D26" s="3" t="s">
        <v>1142</v>
      </c>
    </row>
    <row r="27" spans="1:4" x14ac:dyDescent="0.25">
      <c r="A27" s="3" t="s">
        <v>610</v>
      </c>
      <c r="B27" s="3" t="s">
        <v>1140</v>
      </c>
      <c r="C27" s="3" t="s">
        <v>1141</v>
      </c>
      <c r="D27" s="3" t="s">
        <v>1142</v>
      </c>
    </row>
    <row r="28" spans="1:4" x14ac:dyDescent="0.25">
      <c r="A28" s="3" t="s">
        <v>611</v>
      </c>
      <c r="B28" s="3" t="s">
        <v>1140</v>
      </c>
      <c r="C28" s="3" t="s">
        <v>1141</v>
      </c>
      <c r="D28" s="3" t="s">
        <v>1142</v>
      </c>
    </row>
    <row r="29" spans="1:4" x14ac:dyDescent="0.25">
      <c r="A29" s="3" t="s">
        <v>612</v>
      </c>
      <c r="B29" s="3" t="s">
        <v>1140</v>
      </c>
      <c r="C29" s="3" t="s">
        <v>1141</v>
      </c>
      <c r="D29" s="3" t="s">
        <v>1142</v>
      </c>
    </row>
    <row r="30" spans="1:4" x14ac:dyDescent="0.25">
      <c r="A30" s="3" t="s">
        <v>613</v>
      </c>
      <c r="B30" s="3" t="s">
        <v>1140</v>
      </c>
      <c r="C30" s="3" t="s">
        <v>1141</v>
      </c>
      <c r="D30" s="3" t="s">
        <v>1142</v>
      </c>
    </row>
    <row r="31" spans="1:4" x14ac:dyDescent="0.25">
      <c r="A31" s="3" t="s">
        <v>614</v>
      </c>
      <c r="B31" s="3" t="s">
        <v>1140</v>
      </c>
      <c r="C31" s="3" t="s">
        <v>1141</v>
      </c>
      <c r="D31" s="3" t="s">
        <v>1142</v>
      </c>
    </row>
    <row r="32" spans="1:4" x14ac:dyDescent="0.25">
      <c r="A32" s="3" t="s">
        <v>615</v>
      </c>
      <c r="B32" s="3" t="s">
        <v>1140</v>
      </c>
      <c r="C32" s="3" t="s">
        <v>1141</v>
      </c>
      <c r="D32" s="3" t="s">
        <v>1142</v>
      </c>
    </row>
    <row r="33" spans="1:4" x14ac:dyDescent="0.25">
      <c r="A33" s="3" t="s">
        <v>616</v>
      </c>
      <c r="B33" s="3" t="s">
        <v>1140</v>
      </c>
      <c r="C33" s="3" t="s">
        <v>1141</v>
      </c>
      <c r="D33" s="3" t="s">
        <v>1142</v>
      </c>
    </row>
    <row r="34" spans="1:4" x14ac:dyDescent="0.25">
      <c r="A34" s="3" t="s">
        <v>617</v>
      </c>
      <c r="B34" s="3" t="s">
        <v>1140</v>
      </c>
      <c r="C34" s="3" t="s">
        <v>1141</v>
      </c>
      <c r="D34" s="3" t="s">
        <v>1142</v>
      </c>
    </row>
    <row r="35" spans="1:4" x14ac:dyDescent="0.25">
      <c r="A35" s="3" t="s">
        <v>618</v>
      </c>
      <c r="B35" s="3" t="s">
        <v>1140</v>
      </c>
      <c r="C35" s="3" t="s">
        <v>1141</v>
      </c>
      <c r="D35" s="3" t="s">
        <v>1142</v>
      </c>
    </row>
    <row r="36" spans="1:4" x14ac:dyDescent="0.25">
      <c r="A36" s="3" t="s">
        <v>619</v>
      </c>
      <c r="B36" s="3" t="s">
        <v>1140</v>
      </c>
      <c r="C36" s="3" t="s">
        <v>1141</v>
      </c>
      <c r="D36" s="3" t="s">
        <v>1142</v>
      </c>
    </row>
    <row r="37" spans="1:4" x14ac:dyDescent="0.25">
      <c r="A37" s="3" t="s">
        <v>620</v>
      </c>
      <c r="B37" s="3" t="s">
        <v>1140</v>
      </c>
      <c r="C37" s="3" t="s">
        <v>1141</v>
      </c>
      <c r="D37" s="3" t="s">
        <v>1142</v>
      </c>
    </row>
    <row r="38" spans="1:4" x14ac:dyDescent="0.25">
      <c r="A38" s="3" t="s">
        <v>621</v>
      </c>
      <c r="B38" s="3" t="s">
        <v>1140</v>
      </c>
      <c r="C38" s="3" t="s">
        <v>1141</v>
      </c>
      <c r="D38" s="3" t="s">
        <v>1142</v>
      </c>
    </row>
    <row r="39" spans="1:4" x14ac:dyDescent="0.25">
      <c r="A39" s="3" t="s">
        <v>622</v>
      </c>
      <c r="B39" s="3" t="s">
        <v>1140</v>
      </c>
      <c r="C39" s="3" t="s">
        <v>1141</v>
      </c>
      <c r="D39" s="3" t="s">
        <v>1142</v>
      </c>
    </row>
    <row r="40" spans="1:4" x14ac:dyDescent="0.25">
      <c r="A40" s="3" t="s">
        <v>623</v>
      </c>
      <c r="B40" s="3" t="s">
        <v>1140</v>
      </c>
      <c r="C40" s="3" t="s">
        <v>1141</v>
      </c>
      <c r="D40" s="3" t="s">
        <v>1142</v>
      </c>
    </row>
    <row r="41" spans="1:4" x14ac:dyDescent="0.25">
      <c r="A41" s="3" t="s">
        <v>624</v>
      </c>
      <c r="B41" s="3" t="s">
        <v>1140</v>
      </c>
      <c r="C41" s="3" t="s">
        <v>1141</v>
      </c>
      <c r="D41" s="3" t="s">
        <v>1142</v>
      </c>
    </row>
    <row r="42" spans="1:4" x14ac:dyDescent="0.25">
      <c r="A42" s="3" t="s">
        <v>625</v>
      </c>
      <c r="B42" s="3" t="s">
        <v>1140</v>
      </c>
      <c r="C42" s="3" t="s">
        <v>1141</v>
      </c>
      <c r="D42" s="3" t="s">
        <v>1142</v>
      </c>
    </row>
    <row r="43" spans="1:4" x14ac:dyDescent="0.25">
      <c r="A43" s="3" t="s">
        <v>626</v>
      </c>
      <c r="B43" s="3" t="s">
        <v>1140</v>
      </c>
      <c r="C43" s="3" t="s">
        <v>1141</v>
      </c>
      <c r="D43" s="3" t="s">
        <v>1142</v>
      </c>
    </row>
    <row r="44" spans="1:4" x14ac:dyDescent="0.25">
      <c r="A44" s="3" t="s">
        <v>627</v>
      </c>
      <c r="B44" s="3" t="s">
        <v>1140</v>
      </c>
      <c r="C44" s="3" t="s">
        <v>1141</v>
      </c>
      <c r="D44" s="3" t="s">
        <v>1142</v>
      </c>
    </row>
    <row r="45" spans="1:4" x14ac:dyDescent="0.25">
      <c r="A45" s="3" t="s">
        <v>628</v>
      </c>
      <c r="B45" s="3" t="s">
        <v>1140</v>
      </c>
      <c r="C45" s="3" t="s">
        <v>1141</v>
      </c>
      <c r="D45" s="3" t="s">
        <v>1142</v>
      </c>
    </row>
    <row r="46" spans="1:4" x14ac:dyDescent="0.25">
      <c r="A46" s="3" t="s">
        <v>629</v>
      </c>
      <c r="B46" s="3" t="s">
        <v>1140</v>
      </c>
      <c r="C46" s="3" t="s">
        <v>1141</v>
      </c>
      <c r="D46" s="3" t="s">
        <v>1142</v>
      </c>
    </row>
    <row r="47" spans="1:4" x14ac:dyDescent="0.25">
      <c r="A47" s="3" t="s">
        <v>630</v>
      </c>
      <c r="B47" s="3" t="s">
        <v>1140</v>
      </c>
      <c r="C47" s="3" t="s">
        <v>1141</v>
      </c>
      <c r="D47" s="3" t="s">
        <v>1142</v>
      </c>
    </row>
    <row r="48" spans="1:4" x14ac:dyDescent="0.25">
      <c r="A48" s="3" t="s">
        <v>631</v>
      </c>
      <c r="B48" s="3" t="s">
        <v>1140</v>
      </c>
      <c r="C48" s="3" t="s">
        <v>1141</v>
      </c>
      <c r="D48" s="3" t="s">
        <v>1142</v>
      </c>
    </row>
    <row r="49" spans="1:4" x14ac:dyDescent="0.25">
      <c r="A49" s="3" t="s">
        <v>632</v>
      </c>
      <c r="B49" s="3" t="s">
        <v>1140</v>
      </c>
      <c r="C49" s="3" t="s">
        <v>1141</v>
      </c>
      <c r="D49" s="3" t="s">
        <v>1142</v>
      </c>
    </row>
    <row r="50" spans="1:4" x14ac:dyDescent="0.25">
      <c r="A50" s="3" t="s">
        <v>633</v>
      </c>
      <c r="B50" s="3" t="s">
        <v>1140</v>
      </c>
      <c r="C50" s="3" t="s">
        <v>1141</v>
      </c>
      <c r="D50" s="3" t="s">
        <v>1142</v>
      </c>
    </row>
    <row r="51" spans="1:4" x14ac:dyDescent="0.25">
      <c r="A51" s="3" t="s">
        <v>634</v>
      </c>
      <c r="B51" s="3" t="s">
        <v>1140</v>
      </c>
      <c r="C51" s="3" t="s">
        <v>1141</v>
      </c>
      <c r="D51" s="3" t="s">
        <v>1142</v>
      </c>
    </row>
    <row r="52" spans="1:4" x14ac:dyDescent="0.25">
      <c r="A52" s="3" t="s">
        <v>635</v>
      </c>
      <c r="B52" s="3" t="s">
        <v>1140</v>
      </c>
      <c r="C52" s="3" t="s">
        <v>1141</v>
      </c>
      <c r="D52" s="3" t="s">
        <v>1142</v>
      </c>
    </row>
    <row r="53" spans="1:4" x14ac:dyDescent="0.25">
      <c r="A53" s="3" t="s">
        <v>636</v>
      </c>
      <c r="B53" s="3" t="s">
        <v>1140</v>
      </c>
      <c r="C53" s="3" t="s">
        <v>1141</v>
      </c>
      <c r="D53" s="3" t="s">
        <v>1142</v>
      </c>
    </row>
    <row r="54" spans="1:4" x14ac:dyDescent="0.25">
      <c r="A54" s="3" t="s">
        <v>637</v>
      </c>
      <c r="B54" s="3" t="s">
        <v>1140</v>
      </c>
      <c r="C54" s="3" t="s">
        <v>1141</v>
      </c>
      <c r="D54" s="3" t="s">
        <v>1142</v>
      </c>
    </row>
    <row r="55" spans="1:4" x14ac:dyDescent="0.25">
      <c r="A55" s="3" t="s">
        <v>638</v>
      </c>
      <c r="B55" s="3" t="s">
        <v>1140</v>
      </c>
      <c r="C55" s="3" t="s">
        <v>1141</v>
      </c>
      <c r="D55" s="3" t="s">
        <v>1142</v>
      </c>
    </row>
    <row r="56" spans="1:4" x14ac:dyDescent="0.25">
      <c r="A56" s="3" t="s">
        <v>639</v>
      </c>
      <c r="B56" s="3" t="s">
        <v>1140</v>
      </c>
      <c r="C56" s="3" t="s">
        <v>1141</v>
      </c>
      <c r="D56" s="3" t="s">
        <v>1142</v>
      </c>
    </row>
    <row r="57" spans="1:4" x14ac:dyDescent="0.25">
      <c r="A57" s="3" t="s">
        <v>345</v>
      </c>
      <c r="B57" s="3" t="s">
        <v>9</v>
      </c>
      <c r="C57" s="3" t="s">
        <v>10</v>
      </c>
      <c r="D57" s="3" t="s">
        <v>1137</v>
      </c>
    </row>
    <row r="58" spans="1:4" x14ac:dyDescent="0.25">
      <c r="A58" s="3" t="s">
        <v>346</v>
      </c>
      <c r="B58" s="3" t="s">
        <v>9</v>
      </c>
      <c r="C58" s="3" t="s">
        <v>10</v>
      </c>
      <c r="D58" s="3" t="s">
        <v>1137</v>
      </c>
    </row>
    <row r="59" spans="1:4" x14ac:dyDescent="0.25">
      <c r="A59" s="3" t="s">
        <v>347</v>
      </c>
      <c r="B59" s="3" t="s">
        <v>9</v>
      </c>
      <c r="C59" s="3" t="s">
        <v>10</v>
      </c>
      <c r="D59" s="3" t="s">
        <v>1137</v>
      </c>
    </row>
    <row r="60" spans="1:4" x14ac:dyDescent="0.25">
      <c r="A60" s="3" t="s">
        <v>348</v>
      </c>
      <c r="B60" s="3" t="s">
        <v>9</v>
      </c>
      <c r="C60" s="3" t="s">
        <v>10</v>
      </c>
      <c r="D60" s="3" t="s">
        <v>1137</v>
      </c>
    </row>
    <row r="61" spans="1:4" x14ac:dyDescent="0.25">
      <c r="A61" s="3" t="s">
        <v>349</v>
      </c>
      <c r="B61" s="3" t="s">
        <v>9</v>
      </c>
      <c r="C61" s="3" t="s">
        <v>10</v>
      </c>
      <c r="D61" s="3" t="s">
        <v>1137</v>
      </c>
    </row>
    <row r="62" spans="1:4" x14ac:dyDescent="0.25">
      <c r="A62" s="3" t="s">
        <v>350</v>
      </c>
      <c r="B62" s="3" t="s">
        <v>9</v>
      </c>
      <c r="C62" s="3" t="s">
        <v>10</v>
      </c>
      <c r="D62" s="3" t="s">
        <v>1137</v>
      </c>
    </row>
    <row r="63" spans="1:4" x14ac:dyDescent="0.25">
      <c r="A63" s="3" t="s">
        <v>318</v>
      </c>
      <c r="B63" s="3" t="s">
        <v>9</v>
      </c>
      <c r="C63" s="3" t="s">
        <v>10</v>
      </c>
      <c r="D63" s="3" t="s">
        <v>1137</v>
      </c>
    </row>
    <row r="64" spans="1:4" x14ac:dyDescent="0.25">
      <c r="A64" s="3" t="s">
        <v>235</v>
      </c>
      <c r="B64" s="3" t="s">
        <v>9</v>
      </c>
      <c r="C64" s="3" t="s">
        <v>10</v>
      </c>
      <c r="D64" s="3" t="s">
        <v>1137</v>
      </c>
    </row>
    <row r="65" spans="1:4" x14ac:dyDescent="0.25">
      <c r="A65" s="3" t="s">
        <v>319</v>
      </c>
      <c r="B65" s="3" t="s">
        <v>9</v>
      </c>
      <c r="C65" s="3" t="s">
        <v>10</v>
      </c>
      <c r="D65" s="3" t="s">
        <v>1137</v>
      </c>
    </row>
    <row r="66" spans="1:4" x14ac:dyDescent="0.25">
      <c r="A66" s="3" t="s">
        <v>295</v>
      </c>
      <c r="B66" s="3" t="s">
        <v>9</v>
      </c>
      <c r="C66" s="3" t="s">
        <v>10</v>
      </c>
      <c r="D66" s="3" t="s">
        <v>1137</v>
      </c>
    </row>
    <row r="67" spans="1:4" x14ac:dyDescent="0.25">
      <c r="A67" s="3" t="s">
        <v>351</v>
      </c>
      <c r="B67" s="3" t="s">
        <v>9</v>
      </c>
      <c r="C67" s="3" t="s">
        <v>95</v>
      </c>
      <c r="D67" s="3" t="s">
        <v>1138</v>
      </c>
    </row>
    <row r="68" spans="1:4" x14ac:dyDescent="0.25">
      <c r="A68" s="3" t="s">
        <v>352</v>
      </c>
      <c r="B68" s="3" t="s">
        <v>9</v>
      </c>
      <c r="C68" s="3" t="s">
        <v>95</v>
      </c>
      <c r="D68" s="3" t="s">
        <v>1138</v>
      </c>
    </row>
    <row r="69" spans="1:4" x14ac:dyDescent="0.25">
      <c r="A69" s="3" t="s">
        <v>353</v>
      </c>
      <c r="B69" s="3" t="s">
        <v>9</v>
      </c>
      <c r="C69" s="3" t="s">
        <v>95</v>
      </c>
      <c r="D69" s="3" t="s">
        <v>1139</v>
      </c>
    </row>
    <row r="70" spans="1:4" x14ac:dyDescent="0.25">
      <c r="A70" s="3" t="s">
        <v>428</v>
      </c>
      <c r="B70" s="3" t="s">
        <v>9</v>
      </c>
      <c r="C70" s="3" t="s">
        <v>1171</v>
      </c>
      <c r="D70" s="3" t="s">
        <v>1172</v>
      </c>
    </row>
    <row r="71" spans="1:4" x14ac:dyDescent="0.25">
      <c r="A71" s="3" t="s">
        <v>356</v>
      </c>
      <c r="B71" s="3" t="s">
        <v>9</v>
      </c>
      <c r="C71" s="3" t="s">
        <v>95</v>
      </c>
      <c r="D71" s="3" t="s">
        <v>1144</v>
      </c>
    </row>
    <row r="72" spans="1:4" x14ac:dyDescent="0.25">
      <c r="A72" s="3" t="s">
        <v>467</v>
      </c>
      <c r="B72" s="3" t="s">
        <v>9</v>
      </c>
      <c r="C72" s="3" t="s">
        <v>95</v>
      </c>
      <c r="D72" s="3" t="s">
        <v>1144</v>
      </c>
    </row>
    <row r="73" spans="1:4" x14ac:dyDescent="0.25">
      <c r="A73" s="3" t="s">
        <v>510</v>
      </c>
      <c r="B73" s="3" t="s">
        <v>9</v>
      </c>
      <c r="C73" s="3" t="s">
        <v>95</v>
      </c>
      <c r="D73" s="3" t="s">
        <v>1144</v>
      </c>
    </row>
    <row r="74" spans="1:4" x14ac:dyDescent="0.25">
      <c r="A74" s="3" t="s">
        <v>354</v>
      </c>
      <c r="B74" s="3" t="s">
        <v>9</v>
      </c>
      <c r="C74" s="3" t="s">
        <v>95</v>
      </c>
      <c r="D74" s="3" t="s">
        <v>1143</v>
      </c>
    </row>
    <row r="75" spans="1:4" x14ac:dyDescent="0.25">
      <c r="A75" s="3" t="s">
        <v>355</v>
      </c>
      <c r="B75" s="3" t="s">
        <v>9</v>
      </c>
      <c r="C75" s="3" t="s">
        <v>95</v>
      </c>
      <c r="D75" s="3" t="s">
        <v>1143</v>
      </c>
    </row>
    <row r="76" spans="1:4" x14ac:dyDescent="0.25">
      <c r="A76" s="3" t="s">
        <v>594</v>
      </c>
      <c r="B76" s="3" t="s">
        <v>1146</v>
      </c>
      <c r="C76" s="3" t="s">
        <v>95</v>
      </c>
      <c r="D76" s="3" t="s">
        <v>1147</v>
      </c>
    </row>
    <row r="77" spans="1:4" x14ac:dyDescent="0.25">
      <c r="A77" s="3" t="s">
        <v>595</v>
      </c>
      <c r="B77" s="3" t="s">
        <v>1146</v>
      </c>
      <c r="C77" s="3" t="s">
        <v>95</v>
      </c>
      <c r="D77" s="3" t="s">
        <v>1147</v>
      </c>
    </row>
    <row r="78" spans="1:4" x14ac:dyDescent="0.25">
      <c r="A78" s="3" t="s">
        <v>298</v>
      </c>
      <c r="B78" s="3" t="s">
        <v>184</v>
      </c>
      <c r="C78" s="3" t="s">
        <v>1148</v>
      </c>
      <c r="D78" s="3" t="s">
        <v>1149</v>
      </c>
    </row>
    <row r="79" spans="1:4" x14ac:dyDescent="0.25">
      <c r="A79" s="3" t="s">
        <v>307</v>
      </c>
      <c r="B79" s="3" t="s">
        <v>184</v>
      </c>
      <c r="C79" s="3" t="s">
        <v>1148</v>
      </c>
      <c r="D79" s="3" t="s">
        <v>1149</v>
      </c>
    </row>
    <row r="80" spans="1:4" x14ac:dyDescent="0.25">
      <c r="A80" s="3" t="s">
        <v>375</v>
      </c>
      <c r="B80" s="3" t="s">
        <v>9</v>
      </c>
      <c r="C80" s="3" t="s">
        <v>117</v>
      </c>
      <c r="D80" s="3" t="s">
        <v>1153</v>
      </c>
    </row>
    <row r="81" spans="1:4" x14ac:dyDescent="0.25">
      <c r="A81" s="3" t="s">
        <v>376</v>
      </c>
      <c r="B81" s="3" t="s">
        <v>9</v>
      </c>
      <c r="C81" s="3" t="s">
        <v>117</v>
      </c>
      <c r="D81" s="3" t="s">
        <v>1153</v>
      </c>
    </row>
    <row r="82" spans="1:4" x14ac:dyDescent="0.25">
      <c r="A82" s="3" t="s">
        <v>374</v>
      </c>
      <c r="B82" s="3" t="s">
        <v>9</v>
      </c>
      <c r="C82" s="3" t="s">
        <v>198</v>
      </c>
      <c r="D82" s="3" t="s">
        <v>1152</v>
      </c>
    </row>
    <row r="83" spans="1:4" x14ac:dyDescent="0.25">
      <c r="A83" s="3" t="s">
        <v>335</v>
      </c>
      <c r="B83" s="3" t="s">
        <v>9</v>
      </c>
      <c r="C83" s="3" t="s">
        <v>198</v>
      </c>
      <c r="D83" s="3" t="s">
        <v>1129</v>
      </c>
    </row>
    <row r="84" spans="1:4" x14ac:dyDescent="0.25">
      <c r="A84" s="3" t="s">
        <v>336</v>
      </c>
      <c r="B84" s="3" t="s">
        <v>9</v>
      </c>
      <c r="C84" s="3" t="s">
        <v>198</v>
      </c>
      <c r="D84" s="3" t="s">
        <v>1129</v>
      </c>
    </row>
    <row r="85" spans="1:4" x14ac:dyDescent="0.25">
      <c r="A85" s="3" t="s">
        <v>337</v>
      </c>
      <c r="B85" s="3" t="s">
        <v>9</v>
      </c>
      <c r="C85" s="3" t="s">
        <v>198</v>
      </c>
      <c r="D85" s="3" t="s">
        <v>1129</v>
      </c>
    </row>
    <row r="86" spans="1:4" x14ac:dyDescent="0.25">
      <c r="A86" s="3" t="s">
        <v>338</v>
      </c>
      <c r="B86" s="3" t="s">
        <v>9</v>
      </c>
      <c r="C86" s="3" t="s">
        <v>198</v>
      </c>
      <c r="D86" s="3" t="s">
        <v>1129</v>
      </c>
    </row>
    <row r="87" spans="1:4" x14ac:dyDescent="0.25">
      <c r="A87" s="3" t="s">
        <v>361</v>
      </c>
      <c r="B87" s="3" t="s">
        <v>9</v>
      </c>
      <c r="C87" s="3" t="s">
        <v>198</v>
      </c>
      <c r="D87" s="3" t="s">
        <v>1129</v>
      </c>
    </row>
    <row r="88" spans="1:4" x14ac:dyDescent="0.25">
      <c r="A88" s="3" t="s">
        <v>362</v>
      </c>
      <c r="B88" s="3" t="s">
        <v>9</v>
      </c>
      <c r="C88" s="3" t="s">
        <v>198</v>
      </c>
      <c r="D88" s="3" t="s">
        <v>1129</v>
      </c>
    </row>
    <row r="89" spans="1:4" x14ac:dyDescent="0.25">
      <c r="A89" s="3" t="s">
        <v>363</v>
      </c>
      <c r="B89" s="3" t="s">
        <v>9</v>
      </c>
      <c r="C89" s="3" t="s">
        <v>198</v>
      </c>
      <c r="D89" s="3" t="s">
        <v>1129</v>
      </c>
    </row>
    <row r="90" spans="1:4" x14ac:dyDescent="0.25">
      <c r="A90" s="3" t="s">
        <v>364</v>
      </c>
      <c r="B90" s="3" t="s">
        <v>9</v>
      </c>
      <c r="C90" s="3" t="s">
        <v>198</v>
      </c>
      <c r="D90" s="3" t="s">
        <v>1129</v>
      </c>
    </row>
    <row r="91" spans="1:4" x14ac:dyDescent="0.25">
      <c r="A91" s="3" t="s">
        <v>365</v>
      </c>
      <c r="B91" s="3" t="s">
        <v>9</v>
      </c>
      <c r="C91" s="3" t="s">
        <v>198</v>
      </c>
      <c r="D91" s="3" t="s">
        <v>1129</v>
      </c>
    </row>
    <row r="92" spans="1:4" x14ac:dyDescent="0.25">
      <c r="A92" s="3" t="s">
        <v>366</v>
      </c>
      <c r="B92" s="3" t="s">
        <v>9</v>
      </c>
      <c r="C92" s="3" t="s">
        <v>198</v>
      </c>
      <c r="D92" s="3" t="s">
        <v>1129</v>
      </c>
    </row>
    <row r="93" spans="1:4" x14ac:dyDescent="0.25">
      <c r="A93" s="3" t="s">
        <v>367</v>
      </c>
      <c r="B93" s="3" t="s">
        <v>9</v>
      </c>
      <c r="C93" s="3" t="s">
        <v>198</v>
      </c>
      <c r="D93" s="3" t="s">
        <v>1129</v>
      </c>
    </row>
    <row r="94" spans="1:4" x14ac:dyDescent="0.25">
      <c r="A94" s="3" t="s">
        <v>368</v>
      </c>
      <c r="B94" s="3" t="s">
        <v>9</v>
      </c>
      <c r="C94" s="3" t="s">
        <v>198</v>
      </c>
      <c r="D94" s="3" t="s">
        <v>1129</v>
      </c>
    </row>
    <row r="95" spans="1:4" x14ac:dyDescent="0.25">
      <c r="A95" s="3" t="s">
        <v>369</v>
      </c>
      <c r="B95" s="3" t="s">
        <v>9</v>
      </c>
      <c r="C95" s="3" t="s">
        <v>198</v>
      </c>
      <c r="D95" s="3" t="s">
        <v>1129</v>
      </c>
    </row>
    <row r="96" spans="1:4" x14ac:dyDescent="0.25">
      <c r="A96" s="3" t="s">
        <v>370</v>
      </c>
      <c r="B96" s="3" t="s">
        <v>9</v>
      </c>
      <c r="C96" s="3" t="s">
        <v>198</v>
      </c>
      <c r="D96" s="3" t="s">
        <v>1129</v>
      </c>
    </row>
    <row r="97" spans="1:4" x14ac:dyDescent="0.25">
      <c r="A97" s="3" t="s">
        <v>371</v>
      </c>
      <c r="B97" s="3" t="s">
        <v>9</v>
      </c>
      <c r="C97" s="3" t="s">
        <v>198</v>
      </c>
      <c r="D97" s="3" t="s">
        <v>1129</v>
      </c>
    </row>
    <row r="98" spans="1:4" x14ac:dyDescent="0.25">
      <c r="A98" s="3" t="s">
        <v>377</v>
      </c>
      <c r="B98" s="3" t="s">
        <v>9</v>
      </c>
      <c r="C98" s="3" t="s">
        <v>198</v>
      </c>
      <c r="D98" s="3" t="s">
        <v>1129</v>
      </c>
    </row>
    <row r="99" spans="1:4" x14ac:dyDescent="0.25">
      <c r="A99" s="3" t="s">
        <v>378</v>
      </c>
      <c r="B99" s="3" t="s">
        <v>9</v>
      </c>
      <c r="C99" s="3" t="s">
        <v>198</v>
      </c>
      <c r="D99" s="3" t="s">
        <v>1129</v>
      </c>
    </row>
    <row r="100" spans="1:4" x14ac:dyDescent="0.25">
      <c r="A100" s="3" t="s">
        <v>379</v>
      </c>
      <c r="B100" s="3" t="s">
        <v>9</v>
      </c>
      <c r="C100" s="3" t="s">
        <v>198</v>
      </c>
      <c r="D100" s="3" t="s">
        <v>1129</v>
      </c>
    </row>
    <row r="101" spans="1:4" x14ac:dyDescent="0.25">
      <c r="A101" s="3" t="s">
        <v>380</v>
      </c>
      <c r="B101" s="3" t="s">
        <v>9</v>
      </c>
      <c r="C101" s="3" t="s">
        <v>198</v>
      </c>
      <c r="D101" s="3" t="s">
        <v>1129</v>
      </c>
    </row>
    <row r="102" spans="1:4" x14ac:dyDescent="0.25">
      <c r="A102" s="3" t="s">
        <v>1236</v>
      </c>
      <c r="B102" s="3" t="s">
        <v>9</v>
      </c>
      <c r="C102" s="3" t="s">
        <v>198</v>
      </c>
      <c r="D102" s="3" t="s">
        <v>1129</v>
      </c>
    </row>
    <row r="103" spans="1:4" x14ac:dyDescent="0.25">
      <c r="A103" s="3" t="s">
        <v>381</v>
      </c>
      <c r="B103" s="3" t="s">
        <v>9</v>
      </c>
      <c r="C103" s="3" t="s">
        <v>198</v>
      </c>
      <c r="D103" s="3" t="s">
        <v>1129</v>
      </c>
    </row>
    <row r="104" spans="1:4" x14ac:dyDescent="0.25">
      <c r="A104" s="3" t="s">
        <v>382</v>
      </c>
      <c r="B104" s="3" t="s">
        <v>9</v>
      </c>
      <c r="C104" s="3" t="s">
        <v>198</v>
      </c>
      <c r="D104" s="3" t="s">
        <v>1129</v>
      </c>
    </row>
    <row r="105" spans="1:4" x14ac:dyDescent="0.25">
      <c r="A105" s="3" t="s">
        <v>230</v>
      </c>
      <c r="B105" s="3" t="s">
        <v>9</v>
      </c>
      <c r="C105" s="3" t="s">
        <v>95</v>
      </c>
      <c r="D105" s="3" t="s">
        <v>1129</v>
      </c>
    </row>
    <row r="106" spans="1:4" x14ac:dyDescent="0.25">
      <c r="A106" s="3" t="s">
        <v>593</v>
      </c>
      <c r="B106" s="3" t="s">
        <v>9</v>
      </c>
      <c r="C106" s="3" t="s">
        <v>198</v>
      </c>
      <c r="D106" s="3" t="s">
        <v>1129</v>
      </c>
    </row>
    <row r="107" spans="1:4" x14ac:dyDescent="0.25">
      <c r="A107" s="3" t="s">
        <v>360</v>
      </c>
      <c r="B107" s="3" t="s">
        <v>9</v>
      </c>
      <c r="C107" s="3" t="s">
        <v>95</v>
      </c>
      <c r="D107" s="3" t="s">
        <v>1150</v>
      </c>
    </row>
    <row r="108" spans="1:4" x14ac:dyDescent="0.25">
      <c r="A108" s="3" t="s">
        <v>401</v>
      </c>
      <c r="B108" s="3" t="s">
        <v>9</v>
      </c>
      <c r="C108" s="3" t="s">
        <v>95</v>
      </c>
      <c r="D108" s="3" t="s">
        <v>1150</v>
      </c>
    </row>
    <row r="109" spans="1:4" x14ac:dyDescent="0.25">
      <c r="A109" s="3" t="s">
        <v>390</v>
      </c>
      <c r="B109" s="3" t="s">
        <v>9</v>
      </c>
      <c r="C109" s="3" t="s">
        <v>1141</v>
      </c>
      <c r="D109" s="3" t="s">
        <v>1157</v>
      </c>
    </row>
    <row r="110" spans="1:4" x14ac:dyDescent="0.25">
      <c r="A110" s="3" t="s">
        <v>405</v>
      </c>
      <c r="B110" s="3" t="s">
        <v>9</v>
      </c>
      <c r="C110" s="3" t="s">
        <v>1141</v>
      </c>
      <c r="D110" s="3" t="s">
        <v>1157</v>
      </c>
    </row>
    <row r="111" spans="1:4" x14ac:dyDescent="0.25">
      <c r="A111" s="3" t="s">
        <v>407</v>
      </c>
      <c r="B111" s="3" t="s">
        <v>9</v>
      </c>
      <c r="C111" s="3" t="s">
        <v>1141</v>
      </c>
      <c r="D111" s="3" t="s">
        <v>1157</v>
      </c>
    </row>
    <row r="112" spans="1:4" x14ac:dyDescent="0.25">
      <c r="A112" s="3" t="s">
        <v>408</v>
      </c>
      <c r="B112" s="3" t="s">
        <v>9</v>
      </c>
      <c r="C112" s="3" t="s">
        <v>1141</v>
      </c>
      <c r="D112" s="3" t="s">
        <v>1157</v>
      </c>
    </row>
    <row r="113" spans="1:4" x14ac:dyDescent="0.25">
      <c r="A113" s="3" t="s">
        <v>409</v>
      </c>
      <c r="B113" s="3" t="s">
        <v>9</v>
      </c>
      <c r="C113" s="3" t="s">
        <v>1141</v>
      </c>
      <c r="D113" s="3" t="s">
        <v>1157</v>
      </c>
    </row>
    <row r="114" spans="1:4" x14ac:dyDescent="0.25">
      <c r="A114" s="3" t="s">
        <v>410</v>
      </c>
      <c r="B114" s="3" t="s">
        <v>9</v>
      </c>
      <c r="C114" s="3" t="s">
        <v>1141</v>
      </c>
      <c r="D114" s="3" t="s">
        <v>1157</v>
      </c>
    </row>
    <row r="115" spans="1:4" x14ac:dyDescent="0.25">
      <c r="A115" s="3" t="s">
        <v>411</v>
      </c>
      <c r="B115" s="3" t="s">
        <v>9</v>
      </c>
      <c r="C115" s="3" t="s">
        <v>1141</v>
      </c>
      <c r="D115" s="3" t="s">
        <v>1157</v>
      </c>
    </row>
    <row r="116" spans="1:4" x14ac:dyDescent="0.25">
      <c r="A116" s="3" t="s">
        <v>412</v>
      </c>
      <c r="B116" s="3" t="s">
        <v>9</v>
      </c>
      <c r="C116" s="3" t="s">
        <v>1141</v>
      </c>
      <c r="D116" s="3" t="s">
        <v>1157</v>
      </c>
    </row>
    <row r="117" spans="1:4" x14ac:dyDescent="0.25">
      <c r="A117" s="3" t="s">
        <v>413</v>
      </c>
      <c r="B117" s="3" t="s">
        <v>9</v>
      </c>
      <c r="C117" s="3" t="s">
        <v>1141</v>
      </c>
      <c r="D117" s="3" t="s">
        <v>1157</v>
      </c>
    </row>
    <row r="118" spans="1:4" x14ac:dyDescent="0.25">
      <c r="A118" s="3" t="s">
        <v>414</v>
      </c>
      <c r="B118" s="3" t="s">
        <v>9</v>
      </c>
      <c r="C118" s="3" t="s">
        <v>1141</v>
      </c>
      <c r="D118" s="3" t="s">
        <v>1157</v>
      </c>
    </row>
    <row r="119" spans="1:4" x14ac:dyDescent="0.25">
      <c r="A119" s="3" t="s">
        <v>415</v>
      </c>
      <c r="B119" s="3" t="s">
        <v>9</v>
      </c>
      <c r="C119" s="3" t="s">
        <v>1141</v>
      </c>
      <c r="D119" s="3" t="s">
        <v>1157</v>
      </c>
    </row>
    <row r="120" spans="1:4" x14ac:dyDescent="0.25">
      <c r="A120" s="3" t="s">
        <v>416</v>
      </c>
      <c r="B120" s="3" t="s">
        <v>9</v>
      </c>
      <c r="C120" s="3" t="s">
        <v>1141</v>
      </c>
      <c r="D120" s="3" t="s">
        <v>1157</v>
      </c>
    </row>
    <row r="121" spans="1:4" x14ac:dyDescent="0.25">
      <c r="A121" s="3" t="s">
        <v>417</v>
      </c>
      <c r="B121" s="3" t="s">
        <v>9</v>
      </c>
      <c r="C121" s="3" t="s">
        <v>1141</v>
      </c>
      <c r="D121" s="3" t="s">
        <v>1157</v>
      </c>
    </row>
    <row r="122" spans="1:4" x14ac:dyDescent="0.25">
      <c r="A122" s="3" t="s">
        <v>418</v>
      </c>
      <c r="B122" s="3" t="s">
        <v>9</v>
      </c>
      <c r="C122" s="3" t="s">
        <v>1141</v>
      </c>
      <c r="D122" s="3" t="s">
        <v>1157</v>
      </c>
    </row>
    <row r="123" spans="1:4" x14ac:dyDescent="0.25">
      <c r="A123" s="3" t="s">
        <v>419</v>
      </c>
      <c r="B123" s="3" t="s">
        <v>9</v>
      </c>
      <c r="C123" s="3" t="s">
        <v>1141</v>
      </c>
      <c r="D123" s="3" t="s">
        <v>1157</v>
      </c>
    </row>
    <row r="124" spans="1:4" x14ac:dyDescent="0.25">
      <c r="A124" s="3" t="s">
        <v>420</v>
      </c>
      <c r="B124" s="3" t="s">
        <v>9</v>
      </c>
      <c r="C124" s="3" t="s">
        <v>1141</v>
      </c>
      <c r="D124" s="3" t="s">
        <v>1157</v>
      </c>
    </row>
    <row r="125" spans="1:4" x14ac:dyDescent="0.25">
      <c r="A125" s="3" t="s">
        <v>421</v>
      </c>
      <c r="B125" s="3" t="s">
        <v>9</v>
      </c>
      <c r="C125" s="3" t="s">
        <v>1141</v>
      </c>
      <c r="D125" s="3" t="s">
        <v>1157</v>
      </c>
    </row>
    <row r="126" spans="1:4" x14ac:dyDescent="0.25">
      <c r="A126" s="3" t="s">
        <v>422</v>
      </c>
      <c r="B126" s="3" t="s">
        <v>9</v>
      </c>
      <c r="C126" s="3" t="s">
        <v>1141</v>
      </c>
      <c r="D126" s="3" t="s">
        <v>1157</v>
      </c>
    </row>
    <row r="127" spans="1:4" x14ac:dyDescent="0.25">
      <c r="A127" s="3" t="s">
        <v>423</v>
      </c>
      <c r="B127" s="3" t="s">
        <v>9</v>
      </c>
      <c r="C127" s="3" t="s">
        <v>1141</v>
      </c>
      <c r="D127" s="3" t="s">
        <v>1157</v>
      </c>
    </row>
    <row r="128" spans="1:4" x14ac:dyDescent="0.25">
      <c r="A128" s="3" t="s">
        <v>424</v>
      </c>
      <c r="B128" s="3" t="s">
        <v>9</v>
      </c>
      <c r="C128" s="3" t="s">
        <v>1141</v>
      </c>
      <c r="D128" s="3" t="s">
        <v>1157</v>
      </c>
    </row>
    <row r="129" spans="1:4" x14ac:dyDescent="0.25">
      <c r="A129" s="3" t="s">
        <v>425</v>
      </c>
      <c r="B129" s="3" t="s">
        <v>9</v>
      </c>
      <c r="C129" s="3" t="s">
        <v>1141</v>
      </c>
      <c r="D129" s="3" t="s">
        <v>1157</v>
      </c>
    </row>
    <row r="130" spans="1:4" x14ac:dyDescent="0.25">
      <c r="A130" s="3" t="s">
        <v>426</v>
      </c>
      <c r="B130" s="3" t="s">
        <v>9</v>
      </c>
      <c r="C130" s="3" t="s">
        <v>1141</v>
      </c>
      <c r="D130" s="3" t="s">
        <v>1157</v>
      </c>
    </row>
    <row r="131" spans="1:4" x14ac:dyDescent="0.25">
      <c r="A131" s="3" t="s">
        <v>427</v>
      </c>
      <c r="B131" s="3" t="s">
        <v>9</v>
      </c>
      <c r="C131" s="3" t="s">
        <v>1141</v>
      </c>
      <c r="D131" s="3" t="s">
        <v>1157</v>
      </c>
    </row>
    <row r="132" spans="1:4" x14ac:dyDescent="0.25">
      <c r="A132" s="3" t="s">
        <v>430</v>
      </c>
      <c r="B132" s="3" t="s">
        <v>9</v>
      </c>
      <c r="C132" s="3" t="s">
        <v>1141</v>
      </c>
      <c r="D132" s="3" t="s">
        <v>1157</v>
      </c>
    </row>
    <row r="133" spans="1:4" x14ac:dyDescent="0.25">
      <c r="A133" s="3" t="s">
        <v>431</v>
      </c>
      <c r="B133" s="3" t="s">
        <v>9</v>
      </c>
      <c r="C133" s="3" t="s">
        <v>1141</v>
      </c>
      <c r="D133" s="3" t="s">
        <v>1157</v>
      </c>
    </row>
    <row r="134" spans="1:4" x14ac:dyDescent="0.25">
      <c r="A134" s="3" t="s">
        <v>432</v>
      </c>
      <c r="B134" s="3" t="s">
        <v>9</v>
      </c>
      <c r="C134" s="3" t="s">
        <v>1141</v>
      </c>
      <c r="D134" s="3" t="s">
        <v>1157</v>
      </c>
    </row>
    <row r="135" spans="1:4" x14ac:dyDescent="0.25">
      <c r="A135" s="3" t="s">
        <v>433</v>
      </c>
      <c r="B135" s="3" t="s">
        <v>9</v>
      </c>
      <c r="C135" s="3" t="s">
        <v>1141</v>
      </c>
      <c r="D135" s="3" t="s">
        <v>1157</v>
      </c>
    </row>
    <row r="136" spans="1:4" x14ac:dyDescent="0.25">
      <c r="A136" s="3" t="s">
        <v>435</v>
      </c>
      <c r="B136" s="3" t="s">
        <v>9</v>
      </c>
      <c r="C136" s="3" t="s">
        <v>1141</v>
      </c>
      <c r="D136" s="3" t="s">
        <v>1157</v>
      </c>
    </row>
    <row r="137" spans="1:4" x14ac:dyDescent="0.25">
      <c r="A137" s="3" t="s">
        <v>436</v>
      </c>
      <c r="B137" s="3" t="s">
        <v>9</v>
      </c>
      <c r="C137" s="3" t="s">
        <v>1141</v>
      </c>
      <c r="D137" s="3" t="s">
        <v>1157</v>
      </c>
    </row>
    <row r="138" spans="1:4" x14ac:dyDescent="0.25">
      <c r="A138" s="3" t="s">
        <v>437</v>
      </c>
      <c r="B138" s="3" t="s">
        <v>9</v>
      </c>
      <c r="C138" s="3" t="s">
        <v>1141</v>
      </c>
      <c r="D138" s="3" t="s">
        <v>1157</v>
      </c>
    </row>
    <row r="139" spans="1:4" x14ac:dyDescent="0.25">
      <c r="A139" s="3" t="s">
        <v>438</v>
      </c>
      <c r="B139" s="3" t="s">
        <v>9</v>
      </c>
      <c r="C139" s="3" t="s">
        <v>1141</v>
      </c>
      <c r="D139" s="3" t="s">
        <v>1157</v>
      </c>
    </row>
    <row r="140" spans="1:4" x14ac:dyDescent="0.25">
      <c r="A140" s="3" t="s">
        <v>439</v>
      </c>
      <c r="B140" s="3" t="s">
        <v>9</v>
      </c>
      <c r="C140" s="3" t="s">
        <v>1141</v>
      </c>
      <c r="D140" s="3" t="s">
        <v>1157</v>
      </c>
    </row>
    <row r="141" spans="1:4" x14ac:dyDescent="0.25">
      <c r="A141" s="3" t="s">
        <v>440</v>
      </c>
      <c r="B141" s="3" t="s">
        <v>9</v>
      </c>
      <c r="C141" s="3" t="s">
        <v>1141</v>
      </c>
      <c r="D141" s="3" t="s">
        <v>1157</v>
      </c>
    </row>
    <row r="142" spans="1:4" x14ac:dyDescent="0.25">
      <c r="A142" s="3" t="s">
        <v>441</v>
      </c>
      <c r="B142" s="3" t="s">
        <v>9</v>
      </c>
      <c r="C142" s="3" t="s">
        <v>1141</v>
      </c>
      <c r="D142" s="3" t="s">
        <v>1157</v>
      </c>
    </row>
    <row r="143" spans="1:4" x14ac:dyDescent="0.25">
      <c r="A143" s="3" t="s">
        <v>442</v>
      </c>
      <c r="B143" s="3" t="s">
        <v>9</v>
      </c>
      <c r="C143" s="3" t="s">
        <v>1141</v>
      </c>
      <c r="D143" s="3" t="s">
        <v>1157</v>
      </c>
    </row>
    <row r="144" spans="1:4" x14ac:dyDescent="0.25">
      <c r="A144" s="3" t="s">
        <v>443</v>
      </c>
      <c r="B144" s="3" t="s">
        <v>9</v>
      </c>
      <c r="C144" s="3" t="s">
        <v>1141</v>
      </c>
      <c r="D144" s="3" t="s">
        <v>1157</v>
      </c>
    </row>
    <row r="145" spans="1:4" x14ac:dyDescent="0.25">
      <c r="A145" s="3" t="s">
        <v>444</v>
      </c>
      <c r="B145" s="3" t="s">
        <v>9</v>
      </c>
      <c r="C145" s="3" t="s">
        <v>1141</v>
      </c>
      <c r="D145" s="3" t="s">
        <v>1157</v>
      </c>
    </row>
    <row r="146" spans="1:4" x14ac:dyDescent="0.25">
      <c r="A146" s="3" t="s">
        <v>445</v>
      </c>
      <c r="B146" s="3" t="s">
        <v>9</v>
      </c>
      <c r="C146" s="3" t="s">
        <v>1141</v>
      </c>
      <c r="D146" s="3" t="s">
        <v>1157</v>
      </c>
    </row>
    <row r="147" spans="1:4" x14ac:dyDescent="0.25">
      <c r="A147" s="3" t="s">
        <v>446</v>
      </c>
      <c r="B147" s="3" t="s">
        <v>9</v>
      </c>
      <c r="C147" s="3" t="s">
        <v>1141</v>
      </c>
      <c r="D147" s="3" t="s">
        <v>1157</v>
      </c>
    </row>
    <row r="148" spans="1:4" x14ac:dyDescent="0.25">
      <c r="A148" s="3" t="s">
        <v>447</v>
      </c>
      <c r="B148" s="3" t="s">
        <v>9</v>
      </c>
      <c r="C148" s="3" t="s">
        <v>1141</v>
      </c>
      <c r="D148" s="3" t="s">
        <v>1157</v>
      </c>
    </row>
    <row r="149" spans="1:4" x14ac:dyDescent="0.25">
      <c r="A149" s="3" t="s">
        <v>448</v>
      </c>
      <c r="B149" s="3" t="s">
        <v>9</v>
      </c>
      <c r="C149" s="3" t="s">
        <v>1141</v>
      </c>
      <c r="D149" s="3" t="s">
        <v>1157</v>
      </c>
    </row>
    <row r="150" spans="1:4" x14ac:dyDescent="0.25">
      <c r="A150" s="3" t="s">
        <v>449</v>
      </c>
      <c r="B150" s="3" t="s">
        <v>9</v>
      </c>
      <c r="C150" s="3" t="s">
        <v>1141</v>
      </c>
      <c r="D150" s="3" t="s">
        <v>1157</v>
      </c>
    </row>
    <row r="151" spans="1:4" x14ac:dyDescent="0.25">
      <c r="A151" s="3" t="s">
        <v>450</v>
      </c>
      <c r="B151" s="3" t="s">
        <v>9</v>
      </c>
      <c r="C151" s="3" t="s">
        <v>1141</v>
      </c>
      <c r="D151" s="3" t="s">
        <v>1157</v>
      </c>
    </row>
    <row r="152" spans="1:4" x14ac:dyDescent="0.25">
      <c r="A152" s="3" t="s">
        <v>452</v>
      </c>
      <c r="B152" s="3" t="s">
        <v>9</v>
      </c>
      <c r="C152" s="3" t="s">
        <v>1141</v>
      </c>
      <c r="D152" s="3" t="s">
        <v>1157</v>
      </c>
    </row>
    <row r="153" spans="1:4" x14ac:dyDescent="0.25">
      <c r="A153" s="3" t="s">
        <v>453</v>
      </c>
      <c r="B153" s="3" t="s">
        <v>9</v>
      </c>
      <c r="C153" s="3" t="s">
        <v>1141</v>
      </c>
      <c r="D153" s="3" t="s">
        <v>1157</v>
      </c>
    </row>
    <row r="154" spans="1:4" x14ac:dyDescent="0.25">
      <c r="A154" s="3" t="s">
        <v>455</v>
      </c>
      <c r="B154" s="3" t="s">
        <v>9</v>
      </c>
      <c r="C154" s="3" t="s">
        <v>1141</v>
      </c>
      <c r="D154" s="3" t="s">
        <v>1157</v>
      </c>
    </row>
    <row r="155" spans="1:4" x14ac:dyDescent="0.25">
      <c r="A155" s="3" t="s">
        <v>456</v>
      </c>
      <c r="B155" s="3" t="s">
        <v>9</v>
      </c>
      <c r="C155" s="3" t="s">
        <v>1141</v>
      </c>
      <c r="D155" s="3" t="s">
        <v>1157</v>
      </c>
    </row>
    <row r="156" spans="1:4" x14ac:dyDescent="0.25">
      <c r="A156" s="3" t="s">
        <v>457</v>
      </c>
      <c r="B156" s="3" t="s">
        <v>9</v>
      </c>
      <c r="C156" s="3" t="s">
        <v>1141</v>
      </c>
      <c r="D156" s="3" t="s">
        <v>1157</v>
      </c>
    </row>
    <row r="157" spans="1:4" x14ac:dyDescent="0.25">
      <c r="A157" s="3" t="s">
        <v>458</v>
      </c>
      <c r="B157" s="3" t="s">
        <v>9</v>
      </c>
      <c r="C157" s="3" t="s">
        <v>1141</v>
      </c>
      <c r="D157" s="3" t="s">
        <v>1157</v>
      </c>
    </row>
    <row r="158" spans="1:4" x14ac:dyDescent="0.25">
      <c r="A158" s="3" t="s">
        <v>459</v>
      </c>
      <c r="B158" s="3" t="s">
        <v>9</v>
      </c>
      <c r="C158" s="3" t="s">
        <v>1141</v>
      </c>
      <c r="D158" s="3" t="s">
        <v>1157</v>
      </c>
    </row>
    <row r="159" spans="1:4" x14ac:dyDescent="0.25">
      <c r="A159" s="3" t="s">
        <v>460</v>
      </c>
      <c r="B159" s="3" t="s">
        <v>9</v>
      </c>
      <c r="C159" s="3" t="s">
        <v>1141</v>
      </c>
      <c r="D159" s="3" t="s">
        <v>1157</v>
      </c>
    </row>
    <row r="160" spans="1:4" x14ac:dyDescent="0.25">
      <c r="A160" s="3" t="s">
        <v>461</v>
      </c>
      <c r="B160" s="3" t="s">
        <v>9</v>
      </c>
      <c r="C160" s="3" t="s">
        <v>1141</v>
      </c>
      <c r="D160" s="3" t="s">
        <v>1157</v>
      </c>
    </row>
    <row r="161" spans="1:4" x14ac:dyDescent="0.25">
      <c r="A161" s="3" t="s">
        <v>462</v>
      </c>
      <c r="B161" s="3" t="s">
        <v>9</v>
      </c>
      <c r="C161" s="3" t="s">
        <v>1141</v>
      </c>
      <c r="D161" s="3" t="s">
        <v>1157</v>
      </c>
    </row>
    <row r="162" spans="1:4" x14ac:dyDescent="0.25">
      <c r="A162" s="3" t="s">
        <v>463</v>
      </c>
      <c r="B162" s="3" t="s">
        <v>9</v>
      </c>
      <c r="C162" s="3" t="s">
        <v>1141</v>
      </c>
      <c r="D162" s="3" t="s">
        <v>1157</v>
      </c>
    </row>
    <row r="163" spans="1:4" x14ac:dyDescent="0.25">
      <c r="A163" s="3" t="s">
        <v>464</v>
      </c>
      <c r="B163" s="3" t="s">
        <v>9</v>
      </c>
      <c r="C163" s="3" t="s">
        <v>1141</v>
      </c>
      <c r="D163" s="3" t="s">
        <v>1157</v>
      </c>
    </row>
    <row r="164" spans="1:4" x14ac:dyDescent="0.25">
      <c r="A164" s="3" t="s">
        <v>465</v>
      </c>
      <c r="B164" s="3" t="s">
        <v>9</v>
      </c>
      <c r="C164" s="3" t="s">
        <v>1141</v>
      </c>
      <c r="D164" s="3" t="s">
        <v>1157</v>
      </c>
    </row>
    <row r="165" spans="1:4" x14ac:dyDescent="0.25">
      <c r="A165" s="3" t="s">
        <v>466</v>
      </c>
      <c r="B165" s="3" t="s">
        <v>9</v>
      </c>
      <c r="C165" s="3" t="s">
        <v>1141</v>
      </c>
      <c r="D165" s="3" t="s">
        <v>1157</v>
      </c>
    </row>
    <row r="166" spans="1:4" x14ac:dyDescent="0.25">
      <c r="A166" s="3" t="s">
        <v>476</v>
      </c>
      <c r="B166" s="3" t="s">
        <v>9</v>
      </c>
      <c r="C166" s="3" t="s">
        <v>1141</v>
      </c>
      <c r="D166" s="3" t="s">
        <v>1157</v>
      </c>
    </row>
    <row r="167" spans="1:4" x14ac:dyDescent="0.25">
      <c r="A167" s="3" t="s">
        <v>477</v>
      </c>
      <c r="B167" s="3" t="s">
        <v>9</v>
      </c>
      <c r="C167" s="3" t="s">
        <v>1141</v>
      </c>
      <c r="D167" s="3" t="s">
        <v>1157</v>
      </c>
    </row>
    <row r="168" spans="1:4" x14ac:dyDescent="0.25">
      <c r="A168" s="3" t="s">
        <v>478</v>
      </c>
      <c r="B168" s="3" t="s">
        <v>9</v>
      </c>
      <c r="C168" s="3" t="s">
        <v>1141</v>
      </c>
      <c r="D168" s="3" t="s">
        <v>1157</v>
      </c>
    </row>
    <row r="169" spans="1:4" x14ac:dyDescent="0.25">
      <c r="A169" s="3" t="s">
        <v>487</v>
      </c>
      <c r="B169" s="3" t="s">
        <v>9</v>
      </c>
      <c r="C169" s="3" t="s">
        <v>1141</v>
      </c>
      <c r="D169" s="3" t="s">
        <v>1157</v>
      </c>
    </row>
    <row r="170" spans="1:4" x14ac:dyDescent="0.25">
      <c r="A170" s="3" t="s">
        <v>488</v>
      </c>
      <c r="B170" s="3" t="s">
        <v>9</v>
      </c>
      <c r="C170" s="3" t="s">
        <v>1141</v>
      </c>
      <c r="D170" s="3" t="s">
        <v>1157</v>
      </c>
    </row>
    <row r="171" spans="1:4" x14ac:dyDescent="0.25">
      <c r="A171" s="3" t="s">
        <v>494</v>
      </c>
      <c r="B171" s="3" t="s">
        <v>9</v>
      </c>
      <c r="C171" s="3" t="s">
        <v>1141</v>
      </c>
      <c r="D171" s="3" t="s">
        <v>1157</v>
      </c>
    </row>
    <row r="172" spans="1:4" x14ac:dyDescent="0.25">
      <c r="A172" s="3" t="s">
        <v>495</v>
      </c>
      <c r="B172" s="3" t="s">
        <v>9</v>
      </c>
      <c r="C172" s="3" t="s">
        <v>1141</v>
      </c>
      <c r="D172" s="3" t="s">
        <v>1157</v>
      </c>
    </row>
    <row r="173" spans="1:4" x14ac:dyDescent="0.25">
      <c r="A173" s="3" t="s">
        <v>496</v>
      </c>
      <c r="B173" s="3" t="s">
        <v>9</v>
      </c>
      <c r="C173" s="3" t="s">
        <v>1141</v>
      </c>
      <c r="D173" s="3" t="s">
        <v>1157</v>
      </c>
    </row>
    <row r="174" spans="1:4" x14ac:dyDescent="0.25">
      <c r="A174" s="3" t="s">
        <v>497</v>
      </c>
      <c r="B174" s="3" t="s">
        <v>9</v>
      </c>
      <c r="C174" s="3" t="s">
        <v>1141</v>
      </c>
      <c r="D174" s="3" t="s">
        <v>1157</v>
      </c>
    </row>
    <row r="175" spans="1:4" x14ac:dyDescent="0.25">
      <c r="A175" s="3" t="s">
        <v>498</v>
      </c>
      <c r="B175" s="3" t="s">
        <v>9</v>
      </c>
      <c r="C175" s="3" t="s">
        <v>1141</v>
      </c>
      <c r="D175" s="3" t="s">
        <v>1157</v>
      </c>
    </row>
    <row r="176" spans="1:4" x14ac:dyDescent="0.25">
      <c r="A176" s="3" t="s">
        <v>499</v>
      </c>
      <c r="B176" s="3" t="s">
        <v>9</v>
      </c>
      <c r="C176" s="3" t="s">
        <v>1141</v>
      </c>
      <c r="D176" s="3" t="s">
        <v>1157</v>
      </c>
    </row>
    <row r="177" spans="1:4" x14ac:dyDescent="0.25">
      <c r="A177" s="3" t="s">
        <v>500</v>
      </c>
      <c r="B177" s="3" t="s">
        <v>9</v>
      </c>
      <c r="C177" s="3" t="s">
        <v>1141</v>
      </c>
      <c r="D177" s="3" t="s">
        <v>1157</v>
      </c>
    </row>
    <row r="178" spans="1:4" x14ac:dyDescent="0.25">
      <c r="A178" s="3" t="s">
        <v>501</v>
      </c>
      <c r="B178" s="3" t="s">
        <v>9</v>
      </c>
      <c r="C178" s="3" t="s">
        <v>1141</v>
      </c>
      <c r="D178" s="3" t="s">
        <v>1157</v>
      </c>
    </row>
    <row r="179" spans="1:4" x14ac:dyDescent="0.25">
      <c r="A179" s="3" t="s">
        <v>506</v>
      </c>
      <c r="B179" s="3" t="s">
        <v>9</v>
      </c>
      <c r="C179" s="3" t="s">
        <v>1141</v>
      </c>
      <c r="D179" s="3" t="s">
        <v>1157</v>
      </c>
    </row>
    <row r="180" spans="1:4" x14ac:dyDescent="0.25">
      <c r="A180" s="3" t="s">
        <v>524</v>
      </c>
      <c r="B180" s="3" t="s">
        <v>9</v>
      </c>
      <c r="C180" s="3" t="s">
        <v>1141</v>
      </c>
      <c r="D180" s="3" t="s">
        <v>1157</v>
      </c>
    </row>
    <row r="181" spans="1:4" x14ac:dyDescent="0.25">
      <c r="A181" s="3" t="s">
        <v>542</v>
      </c>
      <c r="B181" s="3" t="s">
        <v>9</v>
      </c>
      <c r="C181" s="3" t="s">
        <v>1141</v>
      </c>
      <c r="D181" s="3" t="s">
        <v>1157</v>
      </c>
    </row>
    <row r="182" spans="1:4" x14ac:dyDescent="0.25">
      <c r="A182" s="3" t="s">
        <v>543</v>
      </c>
      <c r="B182" s="3" t="s">
        <v>9</v>
      </c>
      <c r="C182" s="3" t="s">
        <v>1141</v>
      </c>
      <c r="D182" s="3" t="s">
        <v>1157</v>
      </c>
    </row>
    <row r="183" spans="1:4" x14ac:dyDescent="0.25">
      <c r="A183" s="3" t="s">
        <v>563</v>
      </c>
      <c r="B183" s="3" t="s">
        <v>9</v>
      </c>
      <c r="C183" s="3" t="s">
        <v>1141</v>
      </c>
      <c r="D183" s="3" t="s">
        <v>1157</v>
      </c>
    </row>
    <row r="184" spans="1:4" x14ac:dyDescent="0.25">
      <c r="A184" s="3" t="s">
        <v>581</v>
      </c>
      <c r="B184" s="3" t="s">
        <v>9</v>
      </c>
      <c r="C184" s="3" t="s">
        <v>1141</v>
      </c>
      <c r="D184" s="3" t="s">
        <v>1157</v>
      </c>
    </row>
    <row r="185" spans="1:4" x14ac:dyDescent="0.25">
      <c r="A185" s="3" t="s">
        <v>582</v>
      </c>
      <c r="B185" s="3" t="s">
        <v>9</v>
      </c>
      <c r="C185" s="3" t="s">
        <v>1141</v>
      </c>
      <c r="D185" s="3" t="s">
        <v>1157</v>
      </c>
    </row>
    <row r="186" spans="1:4" x14ac:dyDescent="0.25">
      <c r="A186" s="3" t="s">
        <v>583</v>
      </c>
      <c r="B186" s="3" t="s">
        <v>9</v>
      </c>
      <c r="C186" s="3" t="s">
        <v>1141</v>
      </c>
      <c r="D186" s="3" t="s">
        <v>1157</v>
      </c>
    </row>
    <row r="187" spans="1:4" x14ac:dyDescent="0.25">
      <c r="A187" s="3" t="s">
        <v>584</v>
      </c>
      <c r="B187" s="3" t="s">
        <v>9</v>
      </c>
      <c r="C187" s="3" t="s">
        <v>1141</v>
      </c>
      <c r="D187" s="3" t="s">
        <v>1157</v>
      </c>
    </row>
    <row r="188" spans="1:4" x14ac:dyDescent="0.25">
      <c r="A188" s="3" t="s">
        <v>585</v>
      </c>
      <c r="B188" s="3" t="s">
        <v>9</v>
      </c>
      <c r="C188" s="3" t="s">
        <v>1141</v>
      </c>
      <c r="D188" s="3" t="s">
        <v>1157</v>
      </c>
    </row>
    <row r="189" spans="1:4" x14ac:dyDescent="0.25">
      <c r="A189" s="3" t="s">
        <v>586</v>
      </c>
      <c r="B189" s="3" t="s">
        <v>9</v>
      </c>
      <c r="C189" s="3" t="s">
        <v>1141</v>
      </c>
      <c r="D189" s="3" t="s">
        <v>1157</v>
      </c>
    </row>
    <row r="190" spans="1:4" x14ac:dyDescent="0.25">
      <c r="A190" s="3" t="s">
        <v>301</v>
      </c>
      <c r="B190" s="3" t="s">
        <v>184</v>
      </c>
      <c r="C190" s="3" t="s">
        <v>1141</v>
      </c>
      <c r="D190" s="3" t="s">
        <v>1170</v>
      </c>
    </row>
    <row r="191" spans="1:4" x14ac:dyDescent="0.25">
      <c r="A191" s="3" t="s">
        <v>302</v>
      </c>
      <c r="B191" s="3" t="s">
        <v>184</v>
      </c>
      <c r="C191" s="3" t="s">
        <v>1141</v>
      </c>
      <c r="D191" s="3" t="s">
        <v>1170</v>
      </c>
    </row>
    <row r="192" spans="1:4" x14ac:dyDescent="0.25">
      <c r="A192" s="3" t="s">
        <v>303</v>
      </c>
      <c r="B192" s="3" t="s">
        <v>184</v>
      </c>
      <c r="C192" s="3" t="s">
        <v>1141</v>
      </c>
      <c r="D192" s="3" t="s">
        <v>1170</v>
      </c>
    </row>
    <row r="193" spans="1:4" x14ac:dyDescent="0.25">
      <c r="A193" s="3" t="s">
        <v>304</v>
      </c>
      <c r="B193" s="3" t="s">
        <v>184</v>
      </c>
      <c r="C193" s="3" t="s">
        <v>1141</v>
      </c>
      <c r="D193" s="3" t="s">
        <v>1170</v>
      </c>
    </row>
    <row r="194" spans="1:4" x14ac:dyDescent="0.25">
      <c r="A194" s="3" t="s">
        <v>305</v>
      </c>
      <c r="B194" s="3" t="s">
        <v>184</v>
      </c>
      <c r="C194" s="3" t="s">
        <v>1141</v>
      </c>
      <c r="D194" s="3" t="s">
        <v>1170</v>
      </c>
    </row>
    <row r="195" spans="1:4" x14ac:dyDescent="0.25">
      <c r="A195" s="3" t="s">
        <v>306</v>
      </c>
      <c r="B195" s="3" t="s">
        <v>184</v>
      </c>
      <c r="C195" s="3" t="s">
        <v>1141</v>
      </c>
      <c r="D195" s="3" t="s">
        <v>1170</v>
      </c>
    </row>
    <row r="196" spans="1:4" x14ac:dyDescent="0.25">
      <c r="A196" s="3" t="s">
        <v>314</v>
      </c>
      <c r="B196" s="3" t="s">
        <v>184</v>
      </c>
      <c r="C196" s="3" t="s">
        <v>1141</v>
      </c>
      <c r="D196" s="3" t="s">
        <v>1170</v>
      </c>
    </row>
    <row r="197" spans="1:4" x14ac:dyDescent="0.25">
      <c r="A197" s="3" t="s">
        <v>357</v>
      </c>
      <c r="B197" s="3" t="s">
        <v>9</v>
      </c>
      <c r="C197" s="3" t="s">
        <v>95</v>
      </c>
      <c r="D197" s="3" t="s">
        <v>1145</v>
      </c>
    </row>
    <row r="198" spans="1:4" x14ac:dyDescent="0.25">
      <c r="A198" s="3" t="s">
        <v>358</v>
      </c>
      <c r="B198" s="3" t="s">
        <v>9</v>
      </c>
      <c r="C198" s="3" t="s">
        <v>95</v>
      </c>
      <c r="D198" s="3" t="s">
        <v>1145</v>
      </c>
    </row>
    <row r="199" spans="1:4" x14ac:dyDescent="0.25">
      <c r="A199" s="3" t="s">
        <v>359</v>
      </c>
      <c r="B199" s="3" t="s">
        <v>9</v>
      </c>
      <c r="C199" s="3" t="s">
        <v>95</v>
      </c>
      <c r="D199" s="3" t="s">
        <v>1145</v>
      </c>
    </row>
    <row r="200" spans="1:4" x14ac:dyDescent="0.25">
      <c r="A200" s="3" t="s">
        <v>213</v>
      </c>
      <c r="B200" s="3" t="s">
        <v>1146</v>
      </c>
      <c r="C200" s="3" t="s">
        <v>95</v>
      </c>
      <c r="D200" s="3" t="s">
        <v>1154</v>
      </c>
    </row>
    <row r="201" spans="1:4" x14ac:dyDescent="0.25">
      <c r="A201" s="3" t="s">
        <v>596</v>
      </c>
      <c r="B201" s="3" t="s">
        <v>1146</v>
      </c>
      <c r="C201" s="3" t="s">
        <v>95</v>
      </c>
      <c r="D201" s="3" t="s">
        <v>1154</v>
      </c>
    </row>
    <row r="202" spans="1:4" x14ac:dyDescent="0.25">
      <c r="A202" s="3" t="s">
        <v>383</v>
      </c>
      <c r="B202" s="3" t="s">
        <v>9</v>
      </c>
      <c r="C202" s="3" t="s">
        <v>10</v>
      </c>
      <c r="D202" s="3" t="s">
        <v>1155</v>
      </c>
    </row>
    <row r="203" spans="1:4" x14ac:dyDescent="0.25">
      <c r="A203" s="3" t="s">
        <v>384</v>
      </c>
      <c r="B203" s="3" t="s">
        <v>9</v>
      </c>
      <c r="C203" s="3" t="s">
        <v>10</v>
      </c>
      <c r="D203" s="3" t="s">
        <v>1155</v>
      </c>
    </row>
    <row r="204" spans="1:4" x14ac:dyDescent="0.25">
      <c r="A204" s="3" t="s">
        <v>385</v>
      </c>
      <c r="B204" s="3" t="s">
        <v>9</v>
      </c>
      <c r="C204" s="3" t="s">
        <v>10</v>
      </c>
      <c r="D204" s="3" t="s">
        <v>1155</v>
      </c>
    </row>
    <row r="205" spans="1:4" x14ac:dyDescent="0.25">
      <c r="A205" s="3" t="s">
        <v>386</v>
      </c>
      <c r="B205" s="3" t="s">
        <v>9</v>
      </c>
      <c r="C205" s="3" t="s">
        <v>10</v>
      </c>
      <c r="D205" s="3" t="s">
        <v>1155</v>
      </c>
    </row>
    <row r="206" spans="1:4" x14ac:dyDescent="0.25">
      <c r="A206" s="3" t="s">
        <v>387</v>
      </c>
      <c r="B206" s="3" t="s">
        <v>9</v>
      </c>
      <c r="C206" s="3" t="s">
        <v>10</v>
      </c>
      <c r="D206" s="3" t="s">
        <v>1155</v>
      </c>
    </row>
    <row r="207" spans="1:4" x14ac:dyDescent="0.25">
      <c r="A207" s="3" t="s">
        <v>388</v>
      </c>
      <c r="B207" s="3" t="s">
        <v>9</v>
      </c>
      <c r="C207" s="3" t="s">
        <v>95</v>
      </c>
      <c r="D207" s="3" t="s">
        <v>1156</v>
      </c>
    </row>
    <row r="208" spans="1:4" x14ac:dyDescent="0.25">
      <c r="A208" s="3" t="s">
        <v>389</v>
      </c>
      <c r="B208" s="3" t="s">
        <v>9</v>
      </c>
      <c r="C208" s="3" t="s">
        <v>95</v>
      </c>
      <c r="D208" s="3" t="s">
        <v>1156</v>
      </c>
    </row>
    <row r="209" spans="1:4" x14ac:dyDescent="0.25">
      <c r="A209" s="3" t="s">
        <v>429</v>
      </c>
      <c r="B209" s="3" t="s">
        <v>9</v>
      </c>
      <c r="C209" s="3" t="s">
        <v>1171</v>
      </c>
      <c r="D209" s="3" t="s">
        <v>1173</v>
      </c>
    </row>
    <row r="210" spans="1:4" x14ac:dyDescent="0.25">
      <c r="A210" s="3" t="s">
        <v>394</v>
      </c>
      <c r="B210" s="3" t="s">
        <v>9</v>
      </c>
      <c r="C210" s="3" t="s">
        <v>95</v>
      </c>
      <c r="D210" s="3" t="s">
        <v>1159</v>
      </c>
    </row>
    <row r="211" spans="1:4" x14ac:dyDescent="0.25">
      <c r="A211" s="3" t="s">
        <v>395</v>
      </c>
      <c r="B211" s="3" t="s">
        <v>9</v>
      </c>
      <c r="C211" s="3" t="s">
        <v>95</v>
      </c>
      <c r="D211" s="3" t="s">
        <v>1159</v>
      </c>
    </row>
    <row r="212" spans="1:4" x14ac:dyDescent="0.25">
      <c r="A212" s="3" t="s">
        <v>396</v>
      </c>
      <c r="B212" s="3" t="s">
        <v>9</v>
      </c>
      <c r="C212" s="3" t="s">
        <v>95</v>
      </c>
      <c r="D212" s="3" t="s">
        <v>1159</v>
      </c>
    </row>
    <row r="213" spans="1:4" x14ac:dyDescent="0.25">
      <c r="A213" s="3" t="s">
        <v>1367</v>
      </c>
      <c r="B213" s="3" t="s">
        <v>9</v>
      </c>
      <c r="C213" s="3" t="s">
        <v>117</v>
      </c>
      <c r="D213" s="3" t="s">
        <v>1158</v>
      </c>
    </row>
    <row r="214" spans="1:4" x14ac:dyDescent="0.25">
      <c r="A214" s="3" t="s">
        <v>391</v>
      </c>
      <c r="B214" s="3" t="s">
        <v>9</v>
      </c>
      <c r="C214" s="3" t="s">
        <v>117</v>
      </c>
      <c r="D214" s="3" t="s">
        <v>1158</v>
      </c>
    </row>
    <row r="215" spans="1:4" x14ac:dyDescent="0.25">
      <c r="A215" s="3" t="s">
        <v>392</v>
      </c>
      <c r="B215" s="3" t="s">
        <v>9</v>
      </c>
      <c r="C215" s="3" t="s">
        <v>117</v>
      </c>
      <c r="D215" s="3" t="s">
        <v>1158</v>
      </c>
    </row>
    <row r="216" spans="1:4" x14ac:dyDescent="0.25">
      <c r="A216" s="3" t="s">
        <v>393</v>
      </c>
      <c r="B216" s="3" t="s">
        <v>9</v>
      </c>
      <c r="C216" s="3" t="s">
        <v>117</v>
      </c>
      <c r="D216" s="3" t="s">
        <v>1158</v>
      </c>
    </row>
    <row r="217" spans="1:4" x14ac:dyDescent="0.25">
      <c r="A217" s="3" t="s">
        <v>451</v>
      </c>
      <c r="B217" s="3" t="s">
        <v>9</v>
      </c>
      <c r="C217" s="3" t="s">
        <v>117</v>
      </c>
      <c r="D217" s="3" t="s">
        <v>1158</v>
      </c>
    </row>
    <row r="218" spans="1:4" x14ac:dyDescent="0.25">
      <c r="A218" s="3" t="s">
        <v>640</v>
      </c>
      <c r="B218" s="3" t="s">
        <v>197</v>
      </c>
      <c r="C218" s="3" t="s">
        <v>198</v>
      </c>
      <c r="D218" s="3" t="s">
        <v>1161</v>
      </c>
    </row>
    <row r="219" spans="1:4" x14ac:dyDescent="0.25">
      <c r="A219" s="3" t="s">
        <v>641</v>
      </c>
      <c r="B219" s="3" t="s">
        <v>197</v>
      </c>
      <c r="C219" s="3" t="s">
        <v>198</v>
      </c>
      <c r="D219" s="3" t="s">
        <v>1161</v>
      </c>
    </row>
    <row r="220" spans="1:4" x14ac:dyDescent="0.25">
      <c r="A220" s="3" t="s">
        <v>642</v>
      </c>
      <c r="B220" s="3" t="s">
        <v>197</v>
      </c>
      <c r="C220" s="3" t="s">
        <v>198</v>
      </c>
      <c r="D220" s="3" t="s">
        <v>1161</v>
      </c>
    </row>
    <row r="221" spans="1:4" x14ac:dyDescent="0.25">
      <c r="A221" s="3" t="s">
        <v>643</v>
      </c>
      <c r="B221" s="3" t="s">
        <v>197</v>
      </c>
      <c r="C221" s="3" t="s">
        <v>198</v>
      </c>
      <c r="D221" s="3" t="s">
        <v>1161</v>
      </c>
    </row>
    <row r="222" spans="1:4" x14ac:dyDescent="0.25">
      <c r="A222" s="3" t="s">
        <v>644</v>
      </c>
      <c r="B222" s="3" t="s">
        <v>197</v>
      </c>
      <c r="C222" s="3" t="s">
        <v>198</v>
      </c>
      <c r="D222" s="3" t="s">
        <v>1161</v>
      </c>
    </row>
    <row r="223" spans="1:4" x14ac:dyDescent="0.25">
      <c r="A223" s="3" t="s">
        <v>645</v>
      </c>
      <c r="B223" s="3" t="s">
        <v>197</v>
      </c>
      <c r="C223" s="3" t="s">
        <v>198</v>
      </c>
      <c r="D223" s="3" t="s">
        <v>1161</v>
      </c>
    </row>
    <row r="224" spans="1:4" x14ac:dyDescent="0.25">
      <c r="A224" s="3" t="s">
        <v>646</v>
      </c>
      <c r="B224" s="3" t="s">
        <v>197</v>
      </c>
      <c r="C224" s="3" t="s">
        <v>198</v>
      </c>
      <c r="D224" s="3" t="s">
        <v>1161</v>
      </c>
    </row>
    <row r="225" spans="1:4" x14ac:dyDescent="0.25">
      <c r="A225" s="3" t="s">
        <v>647</v>
      </c>
      <c r="B225" s="3" t="s">
        <v>197</v>
      </c>
      <c r="C225" s="3" t="s">
        <v>198</v>
      </c>
      <c r="D225" s="3" t="s">
        <v>1161</v>
      </c>
    </row>
    <row r="226" spans="1:4" x14ac:dyDescent="0.25">
      <c r="A226" s="3" t="s">
        <v>648</v>
      </c>
      <c r="B226" s="3" t="s">
        <v>197</v>
      </c>
      <c r="C226" s="3" t="s">
        <v>198</v>
      </c>
      <c r="D226" s="3" t="s">
        <v>1161</v>
      </c>
    </row>
    <row r="227" spans="1:4" x14ac:dyDescent="0.25">
      <c r="A227" s="3" t="s">
        <v>649</v>
      </c>
      <c r="B227" s="3" t="s">
        <v>197</v>
      </c>
      <c r="C227" s="3" t="s">
        <v>198</v>
      </c>
      <c r="D227" s="3" t="s">
        <v>1161</v>
      </c>
    </row>
    <row r="228" spans="1:4" x14ac:dyDescent="0.25">
      <c r="A228" s="3" t="s">
        <v>207</v>
      </c>
      <c r="B228" s="3" t="s">
        <v>197</v>
      </c>
      <c r="C228" s="3" t="s">
        <v>198</v>
      </c>
      <c r="D228" s="3" t="s">
        <v>1161</v>
      </c>
    </row>
    <row r="229" spans="1:4" x14ac:dyDescent="0.25">
      <c r="A229" s="3" t="s">
        <v>299</v>
      </c>
      <c r="B229" s="3" t="s">
        <v>184</v>
      </c>
      <c r="C229" s="3" t="s">
        <v>1163</v>
      </c>
      <c r="D229" s="3" t="s">
        <v>1164</v>
      </c>
    </row>
    <row r="230" spans="1:4" x14ac:dyDescent="0.25">
      <c r="A230" s="3" t="s">
        <v>300</v>
      </c>
      <c r="B230" s="3" t="s">
        <v>184</v>
      </c>
      <c r="C230" s="3" t="s">
        <v>1163</v>
      </c>
      <c r="D230" s="3" t="s">
        <v>1164</v>
      </c>
    </row>
    <row r="231" spans="1:4" x14ac:dyDescent="0.25">
      <c r="A231" s="3" t="s">
        <v>398</v>
      </c>
      <c r="B231" s="3" t="s">
        <v>9</v>
      </c>
      <c r="C231" s="3" t="s">
        <v>95</v>
      </c>
      <c r="D231" s="3" t="s">
        <v>1165</v>
      </c>
    </row>
    <row r="232" spans="1:4" x14ac:dyDescent="0.25">
      <c r="A232" s="3" t="s">
        <v>399</v>
      </c>
      <c r="B232" s="3" t="s">
        <v>9</v>
      </c>
      <c r="C232" s="3" t="s">
        <v>95</v>
      </c>
      <c r="D232" s="3" t="s">
        <v>1165</v>
      </c>
    </row>
    <row r="233" spans="1:4" x14ac:dyDescent="0.25">
      <c r="A233" s="3" t="s">
        <v>400</v>
      </c>
      <c r="B233" s="3" t="s">
        <v>9</v>
      </c>
      <c r="C233" s="3" t="s">
        <v>95</v>
      </c>
      <c r="D233" s="3" t="s">
        <v>1165</v>
      </c>
    </row>
    <row r="234" spans="1:4" x14ac:dyDescent="0.25">
      <c r="A234" s="3" t="s">
        <v>402</v>
      </c>
      <c r="B234" s="3" t="s">
        <v>9</v>
      </c>
      <c r="C234" s="3" t="s">
        <v>95</v>
      </c>
      <c r="D234" s="3" t="s">
        <v>1167</v>
      </c>
    </row>
    <row r="235" spans="1:4" x14ac:dyDescent="0.25">
      <c r="A235" s="3" t="s">
        <v>597</v>
      </c>
      <c r="B235" s="3" t="s">
        <v>1146</v>
      </c>
      <c r="C235" s="3" t="s">
        <v>95</v>
      </c>
      <c r="D235" s="3" t="s">
        <v>1166</v>
      </c>
    </row>
    <row r="236" spans="1:4" x14ac:dyDescent="0.25">
      <c r="A236" s="3" t="s">
        <v>598</v>
      </c>
      <c r="B236" s="3" t="s">
        <v>1146</v>
      </c>
      <c r="C236" s="3" t="s">
        <v>95</v>
      </c>
      <c r="D236" s="3" t="s">
        <v>1166</v>
      </c>
    </row>
    <row r="237" spans="1:4" x14ac:dyDescent="0.25">
      <c r="A237" s="3" t="s">
        <v>599</v>
      </c>
      <c r="B237" s="3" t="s">
        <v>1146</v>
      </c>
      <c r="C237" s="3" t="s">
        <v>95</v>
      </c>
      <c r="D237" s="3" t="s">
        <v>1166</v>
      </c>
    </row>
    <row r="238" spans="1:4" x14ac:dyDescent="0.25">
      <c r="A238" s="3" t="s">
        <v>600</v>
      </c>
      <c r="B238" s="3" t="s">
        <v>1146</v>
      </c>
      <c r="C238" s="3" t="s">
        <v>95</v>
      </c>
      <c r="D238" s="3" t="s">
        <v>1166</v>
      </c>
    </row>
    <row r="239" spans="1:4" x14ac:dyDescent="0.25">
      <c r="A239" s="3" t="s">
        <v>206</v>
      </c>
      <c r="B239" s="3" t="s">
        <v>1146</v>
      </c>
      <c r="C239" s="3" t="s">
        <v>95</v>
      </c>
      <c r="D239" s="3" t="s">
        <v>1166</v>
      </c>
    </row>
    <row r="240" spans="1:4" x14ac:dyDescent="0.25">
      <c r="A240" s="3" t="s">
        <v>604</v>
      </c>
      <c r="B240" s="3" t="s">
        <v>1146</v>
      </c>
      <c r="C240" s="3" t="s">
        <v>95</v>
      </c>
      <c r="D240" s="3" t="s">
        <v>1166</v>
      </c>
    </row>
    <row r="241" spans="1:4" x14ac:dyDescent="0.25">
      <c r="A241" s="3" t="s">
        <v>397</v>
      </c>
      <c r="B241" s="3" t="s">
        <v>9</v>
      </c>
      <c r="C241" s="3" t="s">
        <v>198</v>
      </c>
      <c r="D241" s="3" t="s">
        <v>1160</v>
      </c>
    </row>
    <row r="242" spans="1:4" x14ac:dyDescent="0.25">
      <c r="A242" s="3" t="s">
        <v>484</v>
      </c>
      <c r="B242" s="3" t="s">
        <v>9</v>
      </c>
      <c r="C242" s="3" t="s">
        <v>198</v>
      </c>
      <c r="D242" s="3" t="s">
        <v>1160</v>
      </c>
    </row>
    <row r="243" spans="1:4" x14ac:dyDescent="0.25">
      <c r="A243" s="3" t="s">
        <v>588</v>
      </c>
      <c r="B243" s="3" t="s">
        <v>9</v>
      </c>
      <c r="C243" s="3" t="s">
        <v>198</v>
      </c>
      <c r="D243" s="3" t="s">
        <v>1160</v>
      </c>
    </row>
    <row r="244" spans="1:4" x14ac:dyDescent="0.25">
      <c r="A244" s="3" t="s">
        <v>403</v>
      </c>
      <c r="B244" s="3" t="s">
        <v>9</v>
      </c>
      <c r="C244" s="3" t="s">
        <v>95</v>
      </c>
      <c r="D244" s="3" t="s">
        <v>1168</v>
      </c>
    </row>
    <row r="245" spans="1:4" x14ac:dyDescent="0.25">
      <c r="A245" s="3" t="s">
        <v>404</v>
      </c>
      <c r="B245" s="3" t="s">
        <v>9</v>
      </c>
      <c r="C245" s="3" t="s">
        <v>95</v>
      </c>
      <c r="D245" s="3" t="s">
        <v>1168</v>
      </c>
    </row>
    <row r="246" spans="1:4" x14ac:dyDescent="0.25">
      <c r="A246" s="3" t="s">
        <v>406</v>
      </c>
      <c r="B246" s="3" t="s">
        <v>9</v>
      </c>
      <c r="C246" s="3" t="s">
        <v>117</v>
      </c>
      <c r="D246" s="3" t="s">
        <v>1169</v>
      </c>
    </row>
    <row r="247" spans="1:4" x14ac:dyDescent="0.25">
      <c r="A247" s="3" t="s">
        <v>434</v>
      </c>
      <c r="B247" s="3" t="s">
        <v>9</v>
      </c>
      <c r="C247" s="3" t="s">
        <v>117</v>
      </c>
      <c r="D247" s="3" t="s">
        <v>1169</v>
      </c>
    </row>
    <row r="248" spans="1:4" x14ac:dyDescent="0.25">
      <c r="A248" s="3" t="s">
        <v>454</v>
      </c>
      <c r="B248" s="3" t="s">
        <v>9</v>
      </c>
      <c r="C248" s="3" t="s">
        <v>117</v>
      </c>
      <c r="D248" s="3" t="s">
        <v>1169</v>
      </c>
    </row>
    <row r="249" spans="1:4" x14ac:dyDescent="0.25">
      <c r="A249" s="3" t="s">
        <v>471</v>
      </c>
      <c r="B249" s="3" t="s">
        <v>9</v>
      </c>
      <c r="C249" s="3" t="s">
        <v>10</v>
      </c>
      <c r="D249" s="3" t="s">
        <v>1177</v>
      </c>
    </row>
    <row r="250" spans="1:4" x14ac:dyDescent="0.25">
      <c r="A250" s="3" t="s">
        <v>472</v>
      </c>
      <c r="B250" s="3" t="s">
        <v>9</v>
      </c>
      <c r="C250" s="3" t="s">
        <v>10</v>
      </c>
      <c r="D250" s="3" t="s">
        <v>1177</v>
      </c>
    </row>
    <row r="251" spans="1:4" x14ac:dyDescent="0.25">
      <c r="A251" s="3" t="s">
        <v>473</v>
      </c>
      <c r="B251" s="3" t="s">
        <v>9</v>
      </c>
      <c r="C251" s="3" t="s">
        <v>10</v>
      </c>
      <c r="D251" s="3" t="s">
        <v>1177</v>
      </c>
    </row>
    <row r="252" spans="1:4" x14ac:dyDescent="0.25">
      <c r="A252" s="3" t="s">
        <v>474</v>
      </c>
      <c r="B252" s="3" t="s">
        <v>9</v>
      </c>
      <c r="C252" s="3" t="s">
        <v>10</v>
      </c>
      <c r="D252" s="3" t="s">
        <v>1177</v>
      </c>
    </row>
    <row r="253" spans="1:4" x14ac:dyDescent="0.25">
      <c r="A253" s="3" t="s">
        <v>468</v>
      </c>
      <c r="B253" s="3" t="s">
        <v>9</v>
      </c>
      <c r="C253" s="3" t="s">
        <v>1175</v>
      </c>
      <c r="D253" s="3" t="s">
        <v>1176</v>
      </c>
    </row>
    <row r="254" spans="1:4" x14ac:dyDescent="0.25">
      <c r="A254" s="3" t="s">
        <v>469</v>
      </c>
      <c r="B254" s="3" t="s">
        <v>9</v>
      </c>
      <c r="C254" s="3" t="s">
        <v>1175</v>
      </c>
      <c r="D254" s="3" t="s">
        <v>1176</v>
      </c>
    </row>
    <row r="255" spans="1:4" x14ac:dyDescent="0.25">
      <c r="A255" s="3" t="s">
        <v>470</v>
      </c>
      <c r="B255" s="3" t="s">
        <v>9</v>
      </c>
      <c r="C255" s="3" t="s">
        <v>1175</v>
      </c>
      <c r="D255" s="3" t="s">
        <v>1176</v>
      </c>
    </row>
    <row r="256" spans="1:4" x14ac:dyDescent="0.25">
      <c r="A256" s="3" t="s">
        <v>475</v>
      </c>
      <c r="B256" s="3" t="s">
        <v>9</v>
      </c>
      <c r="C256" s="3" t="s">
        <v>95</v>
      </c>
      <c r="D256" s="3" t="s">
        <v>1178</v>
      </c>
    </row>
    <row r="257" spans="1:4" x14ac:dyDescent="0.25">
      <c r="A257" s="3" t="s">
        <v>372</v>
      </c>
      <c r="B257" s="3" t="s">
        <v>9</v>
      </c>
      <c r="C257" s="3" t="s">
        <v>117</v>
      </c>
      <c r="D257" s="3" t="s">
        <v>1151</v>
      </c>
    </row>
    <row r="258" spans="1:4" x14ac:dyDescent="0.25">
      <c r="A258" s="3" t="s">
        <v>373</v>
      </c>
      <c r="B258" s="3" t="s">
        <v>9</v>
      </c>
      <c r="C258" s="3" t="s">
        <v>117</v>
      </c>
      <c r="D258" s="3" t="s">
        <v>1151</v>
      </c>
    </row>
    <row r="259" spans="1:4" x14ac:dyDescent="0.25">
      <c r="A259" s="3" t="s">
        <v>485</v>
      </c>
      <c r="B259" s="3" t="s">
        <v>9</v>
      </c>
      <c r="C259" s="3" t="s">
        <v>117</v>
      </c>
      <c r="D259" s="3" t="s">
        <v>1151</v>
      </c>
    </row>
    <row r="260" spans="1:4" x14ac:dyDescent="0.25">
      <c r="A260" s="3" t="s">
        <v>486</v>
      </c>
      <c r="B260" s="3" t="s">
        <v>9</v>
      </c>
      <c r="C260" s="3" t="s">
        <v>117</v>
      </c>
      <c r="D260" s="3" t="s">
        <v>1151</v>
      </c>
    </row>
    <row r="261" spans="1:4" x14ac:dyDescent="0.25">
      <c r="A261" s="3" t="s">
        <v>535</v>
      </c>
      <c r="B261" s="3" t="s">
        <v>9</v>
      </c>
      <c r="C261" s="3" t="s">
        <v>117</v>
      </c>
      <c r="D261" s="3" t="s">
        <v>1151</v>
      </c>
    </row>
    <row r="262" spans="1:4" x14ac:dyDescent="0.25">
      <c r="A262" s="3" t="s">
        <v>296</v>
      </c>
      <c r="B262" s="3" t="s">
        <v>9</v>
      </c>
      <c r="C262" s="3" t="s">
        <v>117</v>
      </c>
      <c r="D262" s="3" t="s">
        <v>1179</v>
      </c>
    </row>
    <row r="263" spans="1:4" x14ac:dyDescent="0.25">
      <c r="A263" s="3" t="s">
        <v>479</v>
      </c>
      <c r="B263" s="3" t="s">
        <v>9</v>
      </c>
      <c r="C263" s="3" t="s">
        <v>117</v>
      </c>
      <c r="D263" s="3" t="s">
        <v>1179</v>
      </c>
    </row>
    <row r="264" spans="1:4" x14ac:dyDescent="0.25">
      <c r="A264" s="3" t="s">
        <v>480</v>
      </c>
      <c r="B264" s="3" t="s">
        <v>9</v>
      </c>
      <c r="C264" s="3" t="s">
        <v>117</v>
      </c>
      <c r="D264" s="3" t="s">
        <v>1179</v>
      </c>
    </row>
    <row r="265" spans="1:4" x14ac:dyDescent="0.25">
      <c r="A265" s="3" t="s">
        <v>481</v>
      </c>
      <c r="B265" s="3" t="s">
        <v>9</v>
      </c>
      <c r="C265" s="3" t="s">
        <v>117</v>
      </c>
      <c r="D265" s="3" t="s">
        <v>1179</v>
      </c>
    </row>
    <row r="266" spans="1:4" x14ac:dyDescent="0.25">
      <c r="A266" s="3" t="s">
        <v>482</v>
      </c>
      <c r="B266" s="3" t="s">
        <v>9</v>
      </c>
      <c r="C266" s="3" t="s">
        <v>117</v>
      </c>
      <c r="D266" s="3" t="s">
        <v>1179</v>
      </c>
    </row>
    <row r="267" spans="1:4" x14ac:dyDescent="0.25">
      <c r="A267" s="3" t="s">
        <v>483</v>
      </c>
      <c r="B267" s="3" t="s">
        <v>9</v>
      </c>
      <c r="C267" s="3" t="s">
        <v>117</v>
      </c>
      <c r="D267" s="3" t="s">
        <v>1179</v>
      </c>
    </row>
    <row r="268" spans="1:4" x14ac:dyDescent="0.25">
      <c r="A268" s="3" t="s">
        <v>297</v>
      </c>
      <c r="B268" s="3" t="s">
        <v>9</v>
      </c>
      <c r="C268" s="3" t="s">
        <v>117</v>
      </c>
      <c r="D268" s="3" t="s">
        <v>1205</v>
      </c>
    </row>
    <row r="269" spans="1:4" x14ac:dyDescent="0.25">
      <c r="A269" s="3" t="s">
        <v>570</v>
      </c>
      <c r="B269" s="3" t="s">
        <v>9</v>
      </c>
      <c r="C269" s="3" t="s">
        <v>117</v>
      </c>
      <c r="D269" s="3" t="s">
        <v>1205</v>
      </c>
    </row>
    <row r="270" spans="1:4" x14ac:dyDescent="0.25">
      <c r="A270" s="3" t="s">
        <v>571</v>
      </c>
      <c r="B270" s="3" t="s">
        <v>9</v>
      </c>
      <c r="C270" s="3" t="s">
        <v>117</v>
      </c>
      <c r="D270" s="3" t="s">
        <v>1205</v>
      </c>
    </row>
    <row r="271" spans="1:4" x14ac:dyDescent="0.25">
      <c r="A271" s="3" t="s">
        <v>572</v>
      </c>
      <c r="B271" s="3" t="s">
        <v>9</v>
      </c>
      <c r="C271" s="3" t="s">
        <v>117</v>
      </c>
      <c r="D271" s="3" t="s">
        <v>1205</v>
      </c>
    </row>
    <row r="272" spans="1:4" x14ac:dyDescent="0.25">
      <c r="A272" s="3" t="s">
        <v>573</v>
      </c>
      <c r="B272" s="3" t="s">
        <v>9</v>
      </c>
      <c r="C272" s="3" t="s">
        <v>117</v>
      </c>
      <c r="D272" s="3" t="s">
        <v>1205</v>
      </c>
    </row>
    <row r="273" spans="1:4" x14ac:dyDescent="0.25">
      <c r="A273" s="3" t="s">
        <v>492</v>
      </c>
      <c r="B273" s="3" t="s">
        <v>9</v>
      </c>
      <c r="C273" s="3" t="s">
        <v>95</v>
      </c>
      <c r="D273" s="3" t="s">
        <v>1180</v>
      </c>
    </row>
    <row r="274" spans="1:4" x14ac:dyDescent="0.25">
      <c r="A274" s="3" t="s">
        <v>493</v>
      </c>
      <c r="B274" s="3" t="s">
        <v>9</v>
      </c>
      <c r="C274" s="3" t="s">
        <v>95</v>
      </c>
      <c r="D274" s="3" t="s">
        <v>1180</v>
      </c>
    </row>
    <row r="275" spans="1:4" x14ac:dyDescent="0.25">
      <c r="A275" s="3" t="s">
        <v>344</v>
      </c>
      <c r="B275" s="3" t="s">
        <v>9</v>
      </c>
      <c r="C275" s="3" t="s">
        <v>95</v>
      </c>
      <c r="D275" s="3" t="s">
        <v>1136</v>
      </c>
    </row>
    <row r="276" spans="1:4" x14ac:dyDescent="0.25">
      <c r="A276" s="3" t="s">
        <v>489</v>
      </c>
      <c r="B276" s="3" t="s">
        <v>9</v>
      </c>
      <c r="C276" s="3" t="s">
        <v>95</v>
      </c>
      <c r="D276" s="3" t="s">
        <v>1136</v>
      </c>
    </row>
    <row r="277" spans="1:4" x14ac:dyDescent="0.25">
      <c r="A277" s="3" t="s">
        <v>490</v>
      </c>
      <c r="B277" s="3" t="s">
        <v>9</v>
      </c>
      <c r="C277" s="3" t="s">
        <v>95</v>
      </c>
      <c r="D277" s="3" t="s">
        <v>1136</v>
      </c>
    </row>
    <row r="278" spans="1:4" x14ac:dyDescent="0.25">
      <c r="A278" s="3" t="s">
        <v>491</v>
      </c>
      <c r="B278" s="3" t="s">
        <v>9</v>
      </c>
      <c r="C278" s="3" t="s">
        <v>95</v>
      </c>
      <c r="D278" s="3" t="s">
        <v>1136</v>
      </c>
    </row>
    <row r="279" spans="1:4" x14ac:dyDescent="0.25">
      <c r="A279" s="3" t="s">
        <v>502</v>
      </c>
      <c r="B279" s="3" t="s">
        <v>9</v>
      </c>
      <c r="C279" s="3" t="s">
        <v>95</v>
      </c>
      <c r="D279" s="3" t="s">
        <v>1136</v>
      </c>
    </row>
    <row r="280" spans="1:4" x14ac:dyDescent="0.25">
      <c r="A280" s="3" t="s">
        <v>504</v>
      </c>
      <c r="B280" s="3" t="s">
        <v>9</v>
      </c>
      <c r="C280" s="3" t="s">
        <v>1182</v>
      </c>
      <c r="D280" s="3" t="s">
        <v>1182</v>
      </c>
    </row>
    <row r="281" spans="1:4" x14ac:dyDescent="0.25">
      <c r="A281" s="3" t="s">
        <v>505</v>
      </c>
      <c r="B281" s="3" t="s">
        <v>9</v>
      </c>
      <c r="C281" s="3" t="s">
        <v>1182</v>
      </c>
      <c r="D281" s="3" t="s">
        <v>1182</v>
      </c>
    </row>
    <row r="282" spans="1:4" x14ac:dyDescent="0.25">
      <c r="A282" s="3" t="s">
        <v>223</v>
      </c>
      <c r="B282" s="3" t="s">
        <v>184</v>
      </c>
      <c r="C282" s="3" t="s">
        <v>1163</v>
      </c>
      <c r="D282" s="3" t="s">
        <v>1174</v>
      </c>
    </row>
    <row r="283" spans="1:4" x14ac:dyDescent="0.25">
      <c r="A283" s="3" t="s">
        <v>308</v>
      </c>
      <c r="B283" s="3" t="s">
        <v>184</v>
      </c>
      <c r="C283" s="3" t="s">
        <v>1163</v>
      </c>
      <c r="D283" s="3" t="s">
        <v>1174</v>
      </c>
    </row>
    <row r="284" spans="1:4" x14ac:dyDescent="0.25">
      <c r="A284" s="3" t="s">
        <v>309</v>
      </c>
      <c r="B284" s="3" t="s">
        <v>184</v>
      </c>
      <c r="C284" s="3" t="s">
        <v>1163</v>
      </c>
      <c r="D284" s="3" t="s">
        <v>1174</v>
      </c>
    </row>
    <row r="285" spans="1:4" x14ac:dyDescent="0.25">
      <c r="A285" s="3" t="s">
        <v>310</v>
      </c>
      <c r="B285" s="3" t="s">
        <v>184</v>
      </c>
      <c r="C285" s="3" t="s">
        <v>1163</v>
      </c>
      <c r="D285" s="3" t="s">
        <v>1174</v>
      </c>
    </row>
    <row r="286" spans="1:4" x14ac:dyDescent="0.25">
      <c r="A286" s="3" t="s">
        <v>224</v>
      </c>
      <c r="B286" s="3" t="s">
        <v>184</v>
      </c>
      <c r="C286" s="3" t="s">
        <v>1163</v>
      </c>
      <c r="D286" s="3" t="s">
        <v>1174</v>
      </c>
    </row>
    <row r="287" spans="1:4" x14ac:dyDescent="0.25">
      <c r="A287" s="3" t="s">
        <v>311</v>
      </c>
      <c r="B287" s="3" t="s">
        <v>184</v>
      </c>
      <c r="C287" s="3" t="s">
        <v>1163</v>
      </c>
      <c r="D287" s="3" t="s">
        <v>1174</v>
      </c>
    </row>
    <row r="288" spans="1:4" x14ac:dyDescent="0.25">
      <c r="A288" s="3" t="s">
        <v>312</v>
      </c>
      <c r="B288" s="3" t="s">
        <v>184</v>
      </c>
      <c r="C288" s="3" t="s">
        <v>1163</v>
      </c>
      <c r="D288" s="3" t="s">
        <v>1174</v>
      </c>
    </row>
    <row r="289" spans="1:4" x14ac:dyDescent="0.25">
      <c r="A289" s="3" t="s">
        <v>313</v>
      </c>
      <c r="B289" s="3" t="s">
        <v>184</v>
      </c>
      <c r="C289" s="3" t="s">
        <v>1163</v>
      </c>
      <c r="D289" s="3" t="s">
        <v>1174</v>
      </c>
    </row>
    <row r="290" spans="1:4" x14ac:dyDescent="0.25">
      <c r="A290" s="3" t="s">
        <v>503</v>
      </c>
      <c r="B290" s="3" t="s">
        <v>9</v>
      </c>
      <c r="C290" s="3" t="s">
        <v>95</v>
      </c>
      <c r="D290" s="3" t="s">
        <v>1181</v>
      </c>
    </row>
    <row r="291" spans="1:4" x14ac:dyDescent="0.25">
      <c r="A291" s="3" t="s">
        <v>511</v>
      </c>
      <c r="B291" s="3" t="s">
        <v>9</v>
      </c>
      <c r="C291" s="3" t="s">
        <v>95</v>
      </c>
      <c r="D291" s="3" t="s">
        <v>1184</v>
      </c>
    </row>
    <row r="292" spans="1:4" x14ac:dyDescent="0.25">
      <c r="A292" s="3" t="s">
        <v>512</v>
      </c>
      <c r="B292" s="3" t="s">
        <v>9</v>
      </c>
      <c r="C292" s="3" t="s">
        <v>95</v>
      </c>
      <c r="D292" s="3" t="s">
        <v>1184</v>
      </c>
    </row>
    <row r="293" spans="1:4" x14ac:dyDescent="0.25">
      <c r="A293" s="3" t="s">
        <v>515</v>
      </c>
      <c r="B293" s="3" t="s">
        <v>9</v>
      </c>
      <c r="C293" s="3" t="s">
        <v>95</v>
      </c>
      <c r="D293" s="3" t="s">
        <v>1186</v>
      </c>
    </row>
    <row r="294" spans="1:4" x14ac:dyDescent="0.25">
      <c r="A294" s="3" t="s">
        <v>516</v>
      </c>
      <c r="B294" s="3" t="s">
        <v>9</v>
      </c>
      <c r="C294" s="3" t="s">
        <v>95</v>
      </c>
      <c r="D294" s="3" t="s">
        <v>1186</v>
      </c>
    </row>
    <row r="295" spans="1:4" x14ac:dyDescent="0.25">
      <c r="A295" s="3" t="s">
        <v>517</v>
      </c>
      <c r="B295" s="3" t="s">
        <v>9</v>
      </c>
      <c r="C295" s="3" t="s">
        <v>95</v>
      </c>
      <c r="D295" s="3" t="s">
        <v>1187</v>
      </c>
    </row>
    <row r="296" spans="1:4" x14ac:dyDescent="0.25">
      <c r="A296" s="3" t="s">
        <v>513</v>
      </c>
      <c r="B296" s="3" t="s">
        <v>9</v>
      </c>
      <c r="C296" s="3" t="s">
        <v>95</v>
      </c>
      <c r="D296" s="3" t="s">
        <v>1185</v>
      </c>
    </row>
    <row r="297" spans="1:4" x14ac:dyDescent="0.25">
      <c r="A297" s="3" t="s">
        <v>514</v>
      </c>
      <c r="B297" s="3" t="s">
        <v>9</v>
      </c>
      <c r="C297" s="3" t="s">
        <v>95</v>
      </c>
      <c r="D297" s="3" t="s">
        <v>1185</v>
      </c>
    </row>
    <row r="298" spans="1:4" x14ac:dyDescent="0.25">
      <c r="A298" s="3" t="s">
        <v>518</v>
      </c>
      <c r="B298" s="3" t="s">
        <v>9</v>
      </c>
      <c r="C298" s="3" t="s">
        <v>95</v>
      </c>
      <c r="D298" s="3" t="s">
        <v>1188</v>
      </c>
    </row>
    <row r="299" spans="1:4" x14ac:dyDescent="0.25">
      <c r="A299" s="3" t="s">
        <v>519</v>
      </c>
      <c r="B299" s="3" t="s">
        <v>9</v>
      </c>
      <c r="C299" s="3" t="s">
        <v>95</v>
      </c>
      <c r="D299" s="3" t="s">
        <v>1188</v>
      </c>
    </row>
    <row r="300" spans="1:4" x14ac:dyDescent="0.25">
      <c r="A300" s="3" t="s">
        <v>520</v>
      </c>
      <c r="B300" s="3" t="s">
        <v>9</v>
      </c>
      <c r="C300" s="3" t="s">
        <v>95</v>
      </c>
      <c r="D300" s="3" t="s">
        <v>1188</v>
      </c>
    </row>
    <row r="301" spans="1:4" x14ac:dyDescent="0.25">
      <c r="A301" s="3" t="s">
        <v>521</v>
      </c>
      <c r="B301" s="3" t="s">
        <v>9</v>
      </c>
      <c r="C301" s="3" t="s">
        <v>95</v>
      </c>
      <c r="D301" s="3" t="s">
        <v>1188</v>
      </c>
    </row>
    <row r="302" spans="1:4" x14ac:dyDescent="0.25">
      <c r="A302" s="3" t="s">
        <v>522</v>
      </c>
      <c r="B302" s="3" t="s">
        <v>9</v>
      </c>
      <c r="C302" s="3" t="s">
        <v>95</v>
      </c>
      <c r="D302" s="3" t="s">
        <v>1188</v>
      </c>
    </row>
    <row r="303" spans="1:4" x14ac:dyDescent="0.25">
      <c r="A303" s="3" t="s">
        <v>320</v>
      </c>
      <c r="B303" s="3" t="s">
        <v>9</v>
      </c>
      <c r="C303" s="3" t="s">
        <v>95</v>
      </c>
      <c r="D303" s="3" t="s">
        <v>1189</v>
      </c>
    </row>
    <row r="304" spans="1:4" x14ac:dyDescent="0.25">
      <c r="A304" s="3" t="s">
        <v>234</v>
      </c>
      <c r="B304" s="3" t="s">
        <v>9</v>
      </c>
      <c r="C304" s="3" t="s">
        <v>95</v>
      </c>
      <c r="D304" s="3" t="s">
        <v>1189</v>
      </c>
    </row>
    <row r="305" spans="1:4" x14ac:dyDescent="0.25">
      <c r="A305" s="3" t="s">
        <v>523</v>
      </c>
      <c r="B305" s="3" t="s">
        <v>9</v>
      </c>
      <c r="C305" s="3" t="s">
        <v>95</v>
      </c>
      <c r="D305" s="3" t="s">
        <v>1189</v>
      </c>
    </row>
    <row r="306" spans="1:4" x14ac:dyDescent="0.25">
      <c r="A306" s="3" t="s">
        <v>528</v>
      </c>
      <c r="B306" s="3" t="s">
        <v>9</v>
      </c>
      <c r="C306" s="3" t="s">
        <v>95</v>
      </c>
      <c r="D306" s="3" t="s">
        <v>1130</v>
      </c>
    </row>
    <row r="307" spans="1:4" x14ac:dyDescent="0.25">
      <c r="A307" s="3" t="s">
        <v>233</v>
      </c>
      <c r="B307" s="3" t="s">
        <v>9</v>
      </c>
      <c r="C307" s="3" t="s">
        <v>95</v>
      </c>
      <c r="D307" s="3" t="s">
        <v>1130</v>
      </c>
    </row>
    <row r="308" spans="1:4" x14ac:dyDescent="0.25">
      <c r="A308" s="3" t="s">
        <v>529</v>
      </c>
      <c r="B308" s="3" t="s">
        <v>9</v>
      </c>
      <c r="C308" s="3" t="s">
        <v>95</v>
      </c>
      <c r="D308" s="3" t="s">
        <v>1130</v>
      </c>
    </row>
    <row r="309" spans="1:4" x14ac:dyDescent="0.25">
      <c r="A309" s="3" t="s">
        <v>530</v>
      </c>
      <c r="B309" s="3" t="s">
        <v>9</v>
      </c>
      <c r="C309" s="3" t="s">
        <v>95</v>
      </c>
      <c r="D309" s="3" t="s">
        <v>1130</v>
      </c>
    </row>
    <row r="310" spans="1:4" x14ac:dyDescent="0.25">
      <c r="A310" s="3" t="s">
        <v>232</v>
      </c>
      <c r="B310" s="3" t="s">
        <v>9</v>
      </c>
      <c r="C310" s="3" t="s">
        <v>95</v>
      </c>
      <c r="D310" s="3" t="s">
        <v>1130</v>
      </c>
    </row>
    <row r="311" spans="1:4" x14ac:dyDescent="0.25">
      <c r="A311" s="3" t="s">
        <v>1372</v>
      </c>
      <c r="B311" s="3" t="s">
        <v>9</v>
      </c>
      <c r="C311" s="3" t="s">
        <v>95</v>
      </c>
      <c r="D311" s="3" t="s">
        <v>1130</v>
      </c>
    </row>
    <row r="312" spans="1:4" x14ac:dyDescent="0.25">
      <c r="A312" s="3" t="s">
        <v>525</v>
      </c>
      <c r="B312" s="3" t="s">
        <v>9</v>
      </c>
      <c r="C312" s="3" t="s">
        <v>1190</v>
      </c>
      <c r="D312" s="3" t="s">
        <v>1191</v>
      </c>
    </row>
    <row r="313" spans="1:4" x14ac:dyDescent="0.25">
      <c r="A313" s="3" t="s">
        <v>526</v>
      </c>
      <c r="B313" s="3" t="s">
        <v>9</v>
      </c>
      <c r="C313" s="3" t="s">
        <v>1190</v>
      </c>
      <c r="D313" s="3" t="s">
        <v>1191</v>
      </c>
    </row>
    <row r="314" spans="1:4" x14ac:dyDescent="0.25">
      <c r="A314" s="3" t="s">
        <v>527</v>
      </c>
      <c r="B314" s="3" t="s">
        <v>9</v>
      </c>
      <c r="C314" s="3" t="s">
        <v>1190</v>
      </c>
      <c r="D314" s="3" t="s">
        <v>1191</v>
      </c>
    </row>
    <row r="315" spans="1:4" x14ac:dyDescent="0.25">
      <c r="A315" s="3" t="s">
        <v>531</v>
      </c>
      <c r="B315" s="3" t="s">
        <v>9</v>
      </c>
      <c r="C315" s="3" t="s">
        <v>1190</v>
      </c>
      <c r="D315" s="3" t="s">
        <v>1191</v>
      </c>
    </row>
    <row r="316" spans="1:4" x14ac:dyDescent="0.25">
      <c r="A316" s="3" t="s">
        <v>231</v>
      </c>
      <c r="B316" s="3" t="s">
        <v>9</v>
      </c>
      <c r="C316" s="3" t="s">
        <v>1190</v>
      </c>
      <c r="D316" s="3" t="s">
        <v>1191</v>
      </c>
    </row>
    <row r="317" spans="1:4" x14ac:dyDescent="0.25">
      <c r="A317" s="3" t="s">
        <v>532</v>
      </c>
      <c r="B317" s="3" t="s">
        <v>9</v>
      </c>
      <c r="C317" s="3" t="s">
        <v>1190</v>
      </c>
      <c r="D317" s="3" t="s">
        <v>1191</v>
      </c>
    </row>
    <row r="318" spans="1:4" x14ac:dyDescent="0.25">
      <c r="A318" s="3" t="s">
        <v>290</v>
      </c>
      <c r="B318" s="3" t="s">
        <v>9</v>
      </c>
      <c r="C318" s="3" t="s">
        <v>1190</v>
      </c>
      <c r="D318" s="3" t="s">
        <v>1191</v>
      </c>
    </row>
    <row r="319" spans="1:4" x14ac:dyDescent="0.25">
      <c r="A319" s="3" t="s">
        <v>533</v>
      </c>
      <c r="B319" s="3" t="s">
        <v>9</v>
      </c>
      <c r="C319" s="3" t="s">
        <v>1190</v>
      </c>
      <c r="D319" s="3" t="s">
        <v>1191</v>
      </c>
    </row>
    <row r="320" spans="1:4" x14ac:dyDescent="0.25">
      <c r="A320" s="3" t="s">
        <v>534</v>
      </c>
      <c r="B320" s="3" t="s">
        <v>9</v>
      </c>
      <c r="C320" s="3" t="s">
        <v>1190</v>
      </c>
      <c r="D320" s="3" t="s">
        <v>1191</v>
      </c>
    </row>
    <row r="321" spans="1:4" x14ac:dyDescent="0.25">
      <c r="A321" s="3" t="s">
        <v>1373</v>
      </c>
      <c r="B321" s="3" t="s">
        <v>9</v>
      </c>
      <c r="C321" s="3" t="s">
        <v>95</v>
      </c>
      <c r="D321" s="3" t="s">
        <v>1192</v>
      </c>
    </row>
    <row r="322" spans="1:4" x14ac:dyDescent="0.25">
      <c r="A322" s="3" t="s">
        <v>1374</v>
      </c>
      <c r="B322" s="3" t="s">
        <v>9</v>
      </c>
      <c r="C322" s="3" t="s">
        <v>95</v>
      </c>
      <c r="D322" s="3" t="s">
        <v>1192</v>
      </c>
    </row>
    <row r="323" spans="1:4" x14ac:dyDescent="0.25">
      <c r="A323" s="3" t="s">
        <v>675</v>
      </c>
      <c r="B323" s="3" t="s">
        <v>1127</v>
      </c>
      <c r="C323" s="3" t="s">
        <v>1141</v>
      </c>
      <c r="D323" s="3" t="s">
        <v>1162</v>
      </c>
    </row>
    <row r="324" spans="1:4" x14ac:dyDescent="0.25">
      <c r="A324" s="3" t="s">
        <v>676</v>
      </c>
      <c r="B324" s="3" t="s">
        <v>1127</v>
      </c>
      <c r="C324" s="3" t="s">
        <v>1141</v>
      </c>
      <c r="D324" s="3" t="s">
        <v>1162</v>
      </c>
    </row>
    <row r="325" spans="1:4" x14ac:dyDescent="0.25">
      <c r="A325" s="3" t="s">
        <v>679</v>
      </c>
      <c r="B325" s="3" t="s">
        <v>1127</v>
      </c>
      <c r="C325" s="3" t="s">
        <v>1141</v>
      </c>
      <c r="D325" s="3" t="s">
        <v>1162</v>
      </c>
    </row>
    <row r="326" spans="1:4" x14ac:dyDescent="0.25">
      <c r="A326" s="3" t="s">
        <v>680</v>
      </c>
      <c r="B326" s="3" t="s">
        <v>1127</v>
      </c>
      <c r="C326" s="3" t="s">
        <v>1141</v>
      </c>
      <c r="D326" s="3" t="s">
        <v>1162</v>
      </c>
    </row>
    <row r="327" spans="1:4" x14ac:dyDescent="0.25">
      <c r="A327" s="3" t="s">
        <v>677</v>
      </c>
      <c r="B327" s="3" t="s">
        <v>1127</v>
      </c>
      <c r="C327" s="3" t="s">
        <v>1141</v>
      </c>
      <c r="D327" s="3" t="s">
        <v>1162</v>
      </c>
    </row>
    <row r="328" spans="1:4" x14ac:dyDescent="0.25">
      <c r="A328" s="3" t="s">
        <v>678</v>
      </c>
      <c r="B328" s="3" t="s">
        <v>1127</v>
      </c>
      <c r="C328" s="3" t="s">
        <v>1141</v>
      </c>
      <c r="D328" s="3" t="s">
        <v>1162</v>
      </c>
    </row>
    <row r="329" spans="1:4" x14ac:dyDescent="0.25">
      <c r="A329" s="3" t="s">
        <v>536</v>
      </c>
      <c r="B329" s="3" t="s">
        <v>9</v>
      </c>
      <c r="C329" s="3" t="s">
        <v>1175</v>
      </c>
      <c r="D329" s="3" t="s">
        <v>1193</v>
      </c>
    </row>
    <row r="330" spans="1:4" x14ac:dyDescent="0.25">
      <c r="A330" s="3" t="s">
        <v>538</v>
      </c>
      <c r="B330" s="3" t="s">
        <v>9</v>
      </c>
      <c r="C330" s="3" t="s">
        <v>1134</v>
      </c>
      <c r="D330" s="3" t="s">
        <v>1195</v>
      </c>
    </row>
    <row r="331" spans="1:4" x14ac:dyDescent="0.25">
      <c r="A331" s="3" t="s">
        <v>539</v>
      </c>
      <c r="B331" s="3" t="s">
        <v>9</v>
      </c>
      <c r="C331" s="3" t="s">
        <v>1134</v>
      </c>
      <c r="D331" s="3" t="s">
        <v>1195</v>
      </c>
    </row>
    <row r="332" spans="1:4" x14ac:dyDescent="0.25">
      <c r="A332" s="3" t="s">
        <v>540</v>
      </c>
      <c r="B332" s="3" t="s">
        <v>9</v>
      </c>
      <c r="C332" s="3" t="s">
        <v>1134</v>
      </c>
      <c r="D332" s="3" t="s">
        <v>1195</v>
      </c>
    </row>
    <row r="333" spans="1:4" x14ac:dyDescent="0.25">
      <c r="A333" s="3" t="s">
        <v>541</v>
      </c>
      <c r="B333" s="3" t="s">
        <v>9</v>
      </c>
      <c r="C333" s="3" t="s">
        <v>1134</v>
      </c>
      <c r="D333" s="3" t="s">
        <v>1195</v>
      </c>
    </row>
    <row r="334" spans="1:4" x14ac:dyDescent="0.25">
      <c r="A334" s="3" t="s">
        <v>544</v>
      </c>
      <c r="B334" s="3" t="s">
        <v>9</v>
      </c>
      <c r="C334" s="3" t="s">
        <v>1134</v>
      </c>
      <c r="D334" s="3" t="s">
        <v>1195</v>
      </c>
    </row>
    <row r="335" spans="1:4" x14ac:dyDescent="0.25">
      <c r="A335" s="3" t="s">
        <v>545</v>
      </c>
      <c r="B335" s="3" t="s">
        <v>9</v>
      </c>
      <c r="C335" s="3" t="s">
        <v>1134</v>
      </c>
      <c r="D335" s="3" t="s">
        <v>1195</v>
      </c>
    </row>
    <row r="336" spans="1:4" x14ac:dyDescent="0.2">
      <c r="A336" s="3" t="s">
        <v>546</v>
      </c>
      <c r="B336" s="3" t="s">
        <v>9</v>
      </c>
      <c r="C336" s="3" t="s">
        <v>1134</v>
      </c>
      <c r="D336" s="3" t="s">
        <v>1195</v>
      </c>
    </row>
    <row r="337" spans="1:4" x14ac:dyDescent="0.2">
      <c r="A337" s="3" t="s">
        <v>547</v>
      </c>
      <c r="B337" s="3" t="s">
        <v>9</v>
      </c>
      <c r="C337" s="3" t="s">
        <v>1134</v>
      </c>
      <c r="D337" s="3" t="s">
        <v>1195</v>
      </c>
    </row>
    <row r="338" spans="1:4" x14ac:dyDescent="0.2">
      <c r="A338" s="3" t="s">
        <v>602</v>
      </c>
      <c r="B338" s="3" t="s">
        <v>1146</v>
      </c>
      <c r="C338" s="3" t="s">
        <v>95</v>
      </c>
      <c r="D338" s="3" t="s">
        <v>1202</v>
      </c>
    </row>
    <row r="339" spans="1:4" x14ac:dyDescent="0.2">
      <c r="A339" s="3" t="s">
        <v>603</v>
      </c>
      <c r="B339" s="3" t="s">
        <v>1146</v>
      </c>
      <c r="C339" s="3" t="s">
        <v>95</v>
      </c>
      <c r="D339" s="3" t="s">
        <v>1202</v>
      </c>
    </row>
    <row r="340" spans="1:4" x14ac:dyDescent="0.2">
      <c r="A340" s="3" t="s">
        <v>565</v>
      </c>
      <c r="B340" s="3" t="s">
        <v>9</v>
      </c>
      <c r="C340" s="3" t="s">
        <v>95</v>
      </c>
      <c r="D340" s="3" t="s">
        <v>1203</v>
      </c>
    </row>
    <row r="341" spans="1:4" x14ac:dyDescent="0.2">
      <c r="A341" s="3" t="s">
        <v>564</v>
      </c>
      <c r="B341" s="3" t="s">
        <v>9</v>
      </c>
      <c r="C341" s="3" t="s">
        <v>117</v>
      </c>
      <c r="D341" s="3" t="s">
        <v>1201</v>
      </c>
    </row>
    <row r="342" spans="1:4" x14ac:dyDescent="0.2">
      <c r="A342" s="3" t="s">
        <v>560</v>
      </c>
      <c r="B342" s="3" t="s">
        <v>9</v>
      </c>
      <c r="C342" s="3" t="s">
        <v>198</v>
      </c>
      <c r="D342" s="3" t="s">
        <v>1199</v>
      </c>
    </row>
    <row r="343" spans="1:4" x14ac:dyDescent="0.2">
      <c r="A343" s="3" t="s">
        <v>561</v>
      </c>
      <c r="B343" s="3" t="s">
        <v>9</v>
      </c>
      <c r="C343" s="3" t="s">
        <v>198</v>
      </c>
      <c r="D343" s="3" t="s">
        <v>1199</v>
      </c>
    </row>
    <row r="344" spans="1:4" x14ac:dyDescent="0.2">
      <c r="A344" s="3" t="s">
        <v>562</v>
      </c>
      <c r="B344" s="3" t="s">
        <v>9</v>
      </c>
      <c r="C344" s="3" t="s">
        <v>95</v>
      </c>
      <c r="D344" s="3" t="s">
        <v>1200</v>
      </c>
    </row>
    <row r="345" spans="1:4" x14ac:dyDescent="0.2">
      <c r="A345" s="3" t="s">
        <v>552</v>
      </c>
      <c r="B345" s="3" t="s">
        <v>9</v>
      </c>
      <c r="C345" s="3" t="s">
        <v>117</v>
      </c>
      <c r="D345" s="3" t="s">
        <v>1198</v>
      </c>
    </row>
    <row r="346" spans="1:4" x14ac:dyDescent="0.2">
      <c r="A346" s="3" t="s">
        <v>553</v>
      </c>
      <c r="B346" s="3" t="s">
        <v>9</v>
      </c>
      <c r="C346" s="3" t="s">
        <v>117</v>
      </c>
      <c r="D346" s="3" t="s">
        <v>1198</v>
      </c>
    </row>
    <row r="347" spans="1:4" x14ac:dyDescent="0.2">
      <c r="A347" s="3" t="s">
        <v>554</v>
      </c>
      <c r="B347" s="3" t="s">
        <v>9</v>
      </c>
      <c r="C347" s="3" t="s">
        <v>117</v>
      </c>
      <c r="D347" s="3" t="s">
        <v>1198</v>
      </c>
    </row>
    <row r="348" spans="1:4" x14ac:dyDescent="0.2">
      <c r="A348" s="3" t="s">
        <v>555</v>
      </c>
      <c r="B348" s="3" t="s">
        <v>9</v>
      </c>
      <c r="C348" s="3" t="s">
        <v>117</v>
      </c>
      <c r="D348" s="3" t="s">
        <v>1198</v>
      </c>
    </row>
    <row r="349" spans="1:4" x14ac:dyDescent="0.2">
      <c r="A349" s="3" t="s">
        <v>556</v>
      </c>
      <c r="B349" s="3" t="s">
        <v>9</v>
      </c>
      <c r="C349" s="3" t="s">
        <v>117</v>
      </c>
      <c r="D349" s="3" t="s">
        <v>1198</v>
      </c>
    </row>
    <row r="350" spans="1:4" x14ac:dyDescent="0.2">
      <c r="A350" s="3" t="s">
        <v>557</v>
      </c>
      <c r="B350" s="3" t="s">
        <v>9</v>
      </c>
      <c r="C350" s="3" t="s">
        <v>117</v>
      </c>
      <c r="D350" s="3" t="s">
        <v>1198</v>
      </c>
    </row>
    <row r="351" spans="1:4" x14ac:dyDescent="0.2">
      <c r="A351" s="3" t="s">
        <v>558</v>
      </c>
      <c r="B351" s="3" t="s">
        <v>9</v>
      </c>
      <c r="C351" s="3" t="s">
        <v>117</v>
      </c>
      <c r="D351" s="3" t="s">
        <v>1198</v>
      </c>
    </row>
    <row r="352" spans="1:4" x14ac:dyDescent="0.2">
      <c r="A352" s="3" t="s">
        <v>559</v>
      </c>
      <c r="B352" s="3" t="s">
        <v>9</v>
      </c>
      <c r="C352" s="3" t="s">
        <v>117</v>
      </c>
      <c r="D352" s="3" t="s">
        <v>1198</v>
      </c>
    </row>
    <row r="353" spans="1:4" x14ac:dyDescent="0.2">
      <c r="A353" s="3" t="s">
        <v>667</v>
      </c>
      <c r="B353" s="3" t="s">
        <v>9</v>
      </c>
      <c r="C353" s="3" t="s">
        <v>117</v>
      </c>
      <c r="D353" s="3" t="s">
        <v>1198</v>
      </c>
    </row>
    <row r="354" spans="1:4" x14ac:dyDescent="0.2">
      <c r="A354" s="3" t="s">
        <v>548</v>
      </c>
      <c r="B354" s="3" t="s">
        <v>9</v>
      </c>
      <c r="C354" s="3" t="s">
        <v>95</v>
      </c>
      <c r="D354" s="3" t="s">
        <v>1197</v>
      </c>
    </row>
    <row r="355" spans="1:4" x14ac:dyDescent="0.2">
      <c r="A355" s="3" t="s">
        <v>549</v>
      </c>
      <c r="B355" s="3" t="s">
        <v>9</v>
      </c>
      <c r="C355" s="3" t="s">
        <v>95</v>
      </c>
      <c r="D355" s="3" t="s">
        <v>1197</v>
      </c>
    </row>
    <row r="356" spans="1:4" x14ac:dyDescent="0.2">
      <c r="A356" s="3" t="s">
        <v>550</v>
      </c>
      <c r="B356" s="3" t="s">
        <v>9</v>
      </c>
      <c r="C356" s="3" t="s">
        <v>95</v>
      </c>
      <c r="D356" s="3" t="s">
        <v>1197</v>
      </c>
    </row>
    <row r="357" spans="1:4" x14ac:dyDescent="0.2">
      <c r="A357" s="3" t="s">
        <v>551</v>
      </c>
      <c r="B357" s="3" t="s">
        <v>9</v>
      </c>
      <c r="C357" s="3" t="s">
        <v>95</v>
      </c>
      <c r="D357" s="3" t="s">
        <v>1197</v>
      </c>
    </row>
    <row r="358" spans="1:4" x14ac:dyDescent="0.2">
      <c r="A358" s="3" t="s">
        <v>566</v>
      </c>
      <c r="B358" s="3" t="s">
        <v>9</v>
      </c>
      <c r="C358" s="3" t="s">
        <v>95</v>
      </c>
      <c r="D358" s="3" t="s">
        <v>1204</v>
      </c>
    </row>
    <row r="359" spans="1:4" x14ac:dyDescent="0.2">
      <c r="A359" s="3" t="s">
        <v>567</v>
      </c>
      <c r="B359" s="3" t="s">
        <v>9</v>
      </c>
      <c r="C359" s="3" t="s">
        <v>95</v>
      </c>
      <c r="D359" s="3" t="s">
        <v>1204</v>
      </c>
    </row>
    <row r="360" spans="1:4" x14ac:dyDescent="0.2">
      <c r="A360" s="3" t="s">
        <v>568</v>
      </c>
      <c r="B360" s="3" t="s">
        <v>9</v>
      </c>
      <c r="C360" s="3" t="s">
        <v>95</v>
      </c>
      <c r="D360" s="3" t="s">
        <v>1204</v>
      </c>
    </row>
    <row r="361" spans="1:4" x14ac:dyDescent="0.2">
      <c r="A361" s="3" t="s">
        <v>569</v>
      </c>
      <c r="B361" s="3" t="s">
        <v>9</v>
      </c>
      <c r="C361" s="3" t="s">
        <v>95</v>
      </c>
      <c r="D361" s="3" t="s">
        <v>1204</v>
      </c>
    </row>
    <row r="362" spans="1:4" x14ac:dyDescent="0.2">
      <c r="A362" s="3" t="s">
        <v>574</v>
      </c>
      <c r="B362" s="3" t="s">
        <v>9</v>
      </c>
      <c r="C362" s="3" t="s">
        <v>95</v>
      </c>
      <c r="D362" s="3" t="s">
        <v>1206</v>
      </c>
    </row>
    <row r="363" spans="1:4" x14ac:dyDescent="0.2">
      <c r="A363" s="3" t="s">
        <v>575</v>
      </c>
      <c r="B363" s="3" t="s">
        <v>9</v>
      </c>
      <c r="C363" s="3" t="s">
        <v>95</v>
      </c>
      <c r="D363" s="3" t="s">
        <v>1206</v>
      </c>
    </row>
    <row r="364" spans="1:4" x14ac:dyDescent="0.2">
      <c r="A364" s="3" t="s">
        <v>576</v>
      </c>
      <c r="B364" s="3" t="s">
        <v>9</v>
      </c>
      <c r="C364" s="3" t="s">
        <v>95</v>
      </c>
      <c r="D364" s="3" t="s">
        <v>1206</v>
      </c>
    </row>
    <row r="365" spans="1:4" x14ac:dyDescent="0.2">
      <c r="A365" s="3" t="s">
        <v>577</v>
      </c>
      <c r="B365" s="3" t="s">
        <v>9</v>
      </c>
      <c r="C365" s="3" t="s">
        <v>95</v>
      </c>
      <c r="D365" s="3" t="s">
        <v>1206</v>
      </c>
    </row>
    <row r="366" spans="1:4" x14ac:dyDescent="0.2">
      <c r="A366" s="3" t="s">
        <v>578</v>
      </c>
      <c r="B366" s="3" t="s">
        <v>9</v>
      </c>
      <c r="C366" s="3" t="s">
        <v>95</v>
      </c>
      <c r="D366" s="3" t="s">
        <v>1206</v>
      </c>
    </row>
    <row r="367" spans="1:4" x14ac:dyDescent="0.2">
      <c r="A367" s="3" t="s">
        <v>579</v>
      </c>
      <c r="B367" s="3" t="s">
        <v>9</v>
      </c>
      <c r="C367" s="3" t="s">
        <v>1175</v>
      </c>
      <c r="D367" s="3" t="s">
        <v>1207</v>
      </c>
    </row>
    <row r="368" spans="1:4" x14ac:dyDescent="0.2">
      <c r="A368" s="3" t="s">
        <v>507</v>
      </c>
      <c r="B368" s="3" t="s">
        <v>9</v>
      </c>
      <c r="C368" s="3" t="s">
        <v>95</v>
      </c>
      <c r="D368" s="3" t="s">
        <v>1183</v>
      </c>
    </row>
    <row r="369" spans="1:4" x14ac:dyDescent="0.2">
      <c r="A369" s="3" t="s">
        <v>508</v>
      </c>
      <c r="B369" s="3" t="s">
        <v>9</v>
      </c>
      <c r="C369" s="3" t="s">
        <v>95</v>
      </c>
      <c r="D369" s="3" t="s">
        <v>1183</v>
      </c>
    </row>
    <row r="370" spans="1:4" x14ac:dyDescent="0.2">
      <c r="A370" s="3" t="s">
        <v>509</v>
      </c>
      <c r="B370" s="3" t="s">
        <v>9</v>
      </c>
      <c r="C370" s="3" t="s">
        <v>95</v>
      </c>
      <c r="D370" s="3" t="s">
        <v>1183</v>
      </c>
    </row>
    <row r="371" spans="1:4" x14ac:dyDescent="0.2">
      <c r="A371" s="3" t="s">
        <v>315</v>
      </c>
      <c r="B371" s="3" t="s">
        <v>184</v>
      </c>
      <c r="C371" s="3" t="s">
        <v>1190</v>
      </c>
      <c r="D371" s="3" t="s">
        <v>1211</v>
      </c>
    </row>
    <row r="372" spans="1:4" x14ac:dyDescent="0.2">
      <c r="A372" s="3" t="s">
        <v>316</v>
      </c>
      <c r="B372" s="3" t="s">
        <v>184</v>
      </c>
      <c r="C372" s="3" t="s">
        <v>1190</v>
      </c>
      <c r="D372" s="3" t="s">
        <v>1211</v>
      </c>
    </row>
    <row r="373" spans="1:4" x14ac:dyDescent="0.2">
      <c r="A373" s="3" t="s">
        <v>317</v>
      </c>
      <c r="B373" s="3" t="s">
        <v>184</v>
      </c>
      <c r="C373" s="3" t="s">
        <v>1190</v>
      </c>
      <c r="D373" s="3" t="s">
        <v>1211</v>
      </c>
    </row>
    <row r="374" spans="1:4" x14ac:dyDescent="0.2">
      <c r="A374" s="3" t="s">
        <v>650</v>
      </c>
      <c r="B374" s="3" t="s">
        <v>1377</v>
      </c>
      <c r="C374" s="3" t="s">
        <v>1190</v>
      </c>
      <c r="D374" s="3" t="s">
        <v>1208</v>
      </c>
    </row>
    <row r="375" spans="1:4" x14ac:dyDescent="0.2">
      <c r="A375" s="3" t="s">
        <v>651</v>
      </c>
      <c r="B375" s="3" t="s">
        <v>1377</v>
      </c>
      <c r="C375" s="3" t="s">
        <v>1190</v>
      </c>
      <c r="D375" s="3" t="s">
        <v>1208</v>
      </c>
    </row>
    <row r="376" spans="1:4" x14ac:dyDescent="0.2">
      <c r="A376" s="3" t="s">
        <v>652</v>
      </c>
      <c r="B376" s="3" t="s">
        <v>1377</v>
      </c>
      <c r="C376" s="3" t="s">
        <v>1190</v>
      </c>
      <c r="D376" s="3" t="s">
        <v>1208</v>
      </c>
    </row>
    <row r="377" spans="1:4" x14ac:dyDescent="0.2">
      <c r="A377" s="3" t="s">
        <v>653</v>
      </c>
      <c r="B377" s="3" t="s">
        <v>1377</v>
      </c>
      <c r="C377" s="3" t="s">
        <v>1190</v>
      </c>
      <c r="D377" s="3" t="s">
        <v>1208</v>
      </c>
    </row>
    <row r="378" spans="1:4" x14ac:dyDescent="0.2">
      <c r="A378" s="3" t="s">
        <v>655</v>
      </c>
      <c r="B378" s="3" t="s">
        <v>1377</v>
      </c>
      <c r="C378" s="3" t="s">
        <v>1190</v>
      </c>
      <c r="D378" s="3" t="s">
        <v>1208</v>
      </c>
    </row>
    <row r="379" spans="1:4" x14ac:dyDescent="0.2">
      <c r="A379" s="3" t="s">
        <v>656</v>
      </c>
      <c r="B379" s="3" t="s">
        <v>1377</v>
      </c>
      <c r="C379" s="3" t="s">
        <v>1190</v>
      </c>
      <c r="D379" s="3" t="s">
        <v>1208</v>
      </c>
    </row>
    <row r="380" spans="1:4" x14ac:dyDescent="0.2">
      <c r="A380" s="3" t="s">
        <v>657</v>
      </c>
      <c r="B380" s="3" t="s">
        <v>1377</v>
      </c>
      <c r="C380" s="3" t="s">
        <v>1190</v>
      </c>
      <c r="D380" s="3" t="s">
        <v>1208</v>
      </c>
    </row>
    <row r="381" spans="1:4" x14ac:dyDescent="0.2">
      <c r="A381" s="3" t="s">
        <v>658</v>
      </c>
      <c r="B381" s="3" t="s">
        <v>1377</v>
      </c>
      <c r="C381" s="3" t="s">
        <v>1190</v>
      </c>
      <c r="D381" s="3" t="s">
        <v>1208</v>
      </c>
    </row>
    <row r="382" spans="1:4" x14ac:dyDescent="0.2">
      <c r="A382" s="3" t="s">
        <v>659</v>
      </c>
      <c r="B382" s="3" t="s">
        <v>1377</v>
      </c>
      <c r="C382" s="3" t="s">
        <v>1190</v>
      </c>
      <c r="D382" s="3" t="s">
        <v>1208</v>
      </c>
    </row>
    <row r="383" spans="1:4" x14ac:dyDescent="0.2">
      <c r="A383" s="3" t="s">
        <v>660</v>
      </c>
      <c r="B383" s="3" t="s">
        <v>1377</v>
      </c>
      <c r="C383" s="3" t="s">
        <v>1190</v>
      </c>
      <c r="D383" s="3" t="s">
        <v>1208</v>
      </c>
    </row>
    <row r="384" spans="1:4" x14ac:dyDescent="0.2">
      <c r="A384" s="3" t="s">
        <v>661</v>
      </c>
      <c r="B384" s="3" t="s">
        <v>1377</v>
      </c>
      <c r="C384" s="3" t="s">
        <v>1190</v>
      </c>
      <c r="D384" s="3" t="s">
        <v>1208</v>
      </c>
    </row>
    <row r="385" spans="1:4" x14ac:dyDescent="0.2">
      <c r="A385" s="3" t="s">
        <v>662</v>
      </c>
      <c r="B385" s="3" t="s">
        <v>1377</v>
      </c>
      <c r="C385" s="3" t="s">
        <v>1190</v>
      </c>
      <c r="D385" s="3" t="s">
        <v>1208</v>
      </c>
    </row>
    <row r="386" spans="1:4" x14ac:dyDescent="0.2">
      <c r="A386" s="3" t="s">
        <v>663</v>
      </c>
      <c r="B386" s="3" t="s">
        <v>1377</v>
      </c>
      <c r="C386" s="3" t="s">
        <v>1190</v>
      </c>
      <c r="D386" s="3" t="s">
        <v>1208</v>
      </c>
    </row>
    <row r="387" spans="1:4" x14ac:dyDescent="0.2">
      <c r="A387" s="3" t="s">
        <v>1125</v>
      </c>
      <c r="B387" s="3" t="s">
        <v>1377</v>
      </c>
      <c r="C387" s="3" t="s">
        <v>1190</v>
      </c>
      <c r="D387" s="3" t="s">
        <v>1208</v>
      </c>
    </row>
    <row r="388" spans="1:4" x14ac:dyDescent="0.2">
      <c r="A388" s="3" t="s">
        <v>664</v>
      </c>
      <c r="B388" s="3" t="s">
        <v>1377</v>
      </c>
      <c r="C388" s="3" t="s">
        <v>1190</v>
      </c>
      <c r="D388" s="3" t="s">
        <v>1208</v>
      </c>
    </row>
    <row r="389" spans="1:4" x14ac:dyDescent="0.2">
      <c r="A389" s="3" t="s">
        <v>665</v>
      </c>
      <c r="B389" s="3" t="s">
        <v>1377</v>
      </c>
      <c r="C389" s="3" t="s">
        <v>1190</v>
      </c>
      <c r="D389" s="3" t="s">
        <v>1208</v>
      </c>
    </row>
    <row r="390" spans="1:4" x14ac:dyDescent="0.2">
      <c r="A390" s="3" t="s">
        <v>666</v>
      </c>
      <c r="B390" s="3" t="s">
        <v>1377</v>
      </c>
      <c r="C390" s="3" t="s">
        <v>1190</v>
      </c>
      <c r="D390" s="3" t="s">
        <v>1208</v>
      </c>
    </row>
    <row r="391" spans="1:4" x14ac:dyDescent="0.2">
      <c r="A391" s="3" t="s">
        <v>668</v>
      </c>
      <c r="B391" s="3" t="s">
        <v>1377</v>
      </c>
      <c r="C391" s="3" t="s">
        <v>1190</v>
      </c>
      <c r="D391" s="3" t="s">
        <v>1208</v>
      </c>
    </row>
    <row r="392" spans="1:4" x14ac:dyDescent="0.2">
      <c r="A392" s="3" t="s">
        <v>669</v>
      </c>
      <c r="B392" s="3" t="s">
        <v>1377</v>
      </c>
      <c r="C392" s="3" t="s">
        <v>1190</v>
      </c>
      <c r="D392" s="3" t="s">
        <v>1208</v>
      </c>
    </row>
    <row r="393" spans="1:4" x14ac:dyDescent="0.2">
      <c r="A393" s="3" t="s">
        <v>670</v>
      </c>
      <c r="B393" s="3" t="s">
        <v>1377</v>
      </c>
      <c r="C393" s="3" t="s">
        <v>1190</v>
      </c>
      <c r="D393" s="3" t="s">
        <v>1208</v>
      </c>
    </row>
    <row r="394" spans="1:4" x14ac:dyDescent="0.2">
      <c r="A394" s="10" t="s">
        <v>671</v>
      </c>
      <c r="B394" s="3" t="s">
        <v>1377</v>
      </c>
      <c r="C394" s="3" t="s">
        <v>1190</v>
      </c>
      <c r="D394" s="3" t="s">
        <v>1208</v>
      </c>
    </row>
    <row r="395" spans="1:4" x14ac:dyDescent="0.2">
      <c r="A395" s="3" t="s">
        <v>672</v>
      </c>
      <c r="B395" s="3" t="s">
        <v>1377</v>
      </c>
      <c r="C395" s="3" t="s">
        <v>1190</v>
      </c>
      <c r="D395" s="3" t="s">
        <v>1208</v>
      </c>
    </row>
    <row r="396" spans="1:4" x14ac:dyDescent="0.2">
      <c r="A396" s="3" t="s">
        <v>673</v>
      </c>
      <c r="B396" s="3" t="s">
        <v>1377</v>
      </c>
      <c r="C396" s="3" t="s">
        <v>1190</v>
      </c>
      <c r="D396" s="3" t="s">
        <v>1208</v>
      </c>
    </row>
    <row r="397" spans="1:4" x14ac:dyDescent="0.2">
      <c r="A397" s="3" t="s">
        <v>674</v>
      </c>
      <c r="B397" s="3" t="s">
        <v>1377</v>
      </c>
      <c r="C397" s="3" t="s">
        <v>1190</v>
      </c>
      <c r="D397" s="3" t="s">
        <v>1208</v>
      </c>
    </row>
    <row r="398" spans="1:4" x14ac:dyDescent="0.2">
      <c r="A398" s="3" t="s">
        <v>1124</v>
      </c>
      <c r="B398" s="3" t="s">
        <v>1377</v>
      </c>
      <c r="C398" s="3" t="s">
        <v>1190</v>
      </c>
      <c r="D398" s="3" t="s">
        <v>1208</v>
      </c>
    </row>
    <row r="399" spans="1:4" x14ac:dyDescent="0.2">
      <c r="A399" s="3" t="s">
        <v>1123</v>
      </c>
      <c r="B399" s="3" t="s">
        <v>1377</v>
      </c>
      <c r="C399" s="3" t="s">
        <v>1190</v>
      </c>
      <c r="D399" s="3" t="s">
        <v>1208</v>
      </c>
    </row>
    <row r="400" spans="1:4" x14ac:dyDescent="0.2">
      <c r="A400" s="3" t="s">
        <v>587</v>
      </c>
      <c r="B400" s="3" t="s">
        <v>9</v>
      </c>
      <c r="C400" s="3" t="s">
        <v>95</v>
      </c>
      <c r="D400" s="3" t="s">
        <v>1210</v>
      </c>
    </row>
    <row r="401" spans="1:4" x14ac:dyDescent="0.2">
      <c r="A401" s="3" t="s">
        <v>580</v>
      </c>
      <c r="B401" s="3" t="s">
        <v>9</v>
      </c>
      <c r="C401" s="3" t="s">
        <v>10</v>
      </c>
      <c r="D401" s="3" t="s">
        <v>1209</v>
      </c>
    </row>
    <row r="402" spans="1:4" x14ac:dyDescent="0.2">
      <c r="A402" s="3" t="s">
        <v>1121</v>
      </c>
      <c r="B402" s="3" t="s">
        <v>9</v>
      </c>
      <c r="C402" s="3" t="s">
        <v>126</v>
      </c>
      <c r="D402" s="3" t="s">
        <v>1213</v>
      </c>
    </row>
    <row r="403" spans="1:4" x14ac:dyDescent="0.2">
      <c r="A403" s="3" t="s">
        <v>589</v>
      </c>
      <c r="B403" s="3" t="s">
        <v>9</v>
      </c>
      <c r="C403" s="3" t="s">
        <v>95</v>
      </c>
      <c r="D403" s="3" t="s">
        <v>1212</v>
      </c>
    </row>
    <row r="404" spans="1:4" x14ac:dyDescent="0.2">
      <c r="A404" s="3" t="s">
        <v>537</v>
      </c>
      <c r="B404" s="3" t="s">
        <v>9</v>
      </c>
      <c r="C404" s="3" t="s">
        <v>95</v>
      </c>
      <c r="D404" s="3" t="s">
        <v>1194</v>
      </c>
    </row>
    <row r="405" spans="1:4" x14ac:dyDescent="0.2">
      <c r="A405" s="3" t="s">
        <v>590</v>
      </c>
      <c r="B405" s="3" t="s">
        <v>9</v>
      </c>
      <c r="C405" s="3" t="s">
        <v>95</v>
      </c>
      <c r="D405" s="3" t="s">
        <v>1194</v>
      </c>
    </row>
    <row r="406" spans="1:4" x14ac:dyDescent="0.2">
      <c r="A406" s="3" t="s">
        <v>591</v>
      </c>
      <c r="B406" s="3" t="s">
        <v>9</v>
      </c>
      <c r="C406" s="3" t="s">
        <v>95</v>
      </c>
      <c r="D406" s="3" t="s">
        <v>1194</v>
      </c>
    </row>
    <row r="407" spans="1:4" x14ac:dyDescent="0.2">
      <c r="A407" s="3" t="s">
        <v>592</v>
      </c>
      <c r="B407" s="3" t="s">
        <v>9</v>
      </c>
      <c r="C407" s="3" t="s">
        <v>95</v>
      </c>
      <c r="D407" s="3" t="s">
        <v>1194</v>
      </c>
    </row>
    <row r="408" spans="1:4" x14ac:dyDescent="0.2">
      <c r="A408" s="3" t="s">
        <v>601</v>
      </c>
      <c r="B408" s="3" t="s">
        <v>1146</v>
      </c>
      <c r="C408" s="3" t="s">
        <v>95</v>
      </c>
      <c r="D408" s="3" t="s">
        <v>1196</v>
      </c>
    </row>
    <row r="409" spans="1:4" x14ac:dyDescent="0.2">
      <c r="A409" s="3" t="s">
        <v>1122</v>
      </c>
      <c r="B409" s="3" t="s">
        <v>1146</v>
      </c>
      <c r="C409" s="3" t="s">
        <v>95</v>
      </c>
      <c r="D409" s="3" t="s">
        <v>1196</v>
      </c>
    </row>
    <row r="410" spans="1:4" x14ac:dyDescent="0.2">
      <c r="A410" s="10" t="s">
        <v>605</v>
      </c>
      <c r="B410" s="3" t="s">
        <v>1146</v>
      </c>
      <c r="C410" s="3" t="s">
        <v>95</v>
      </c>
      <c r="D410" s="3" t="s">
        <v>1196</v>
      </c>
    </row>
    <row r="411" spans="1:4" x14ac:dyDescent="0.2">
      <c r="A411" s="3" t="s">
        <v>606</v>
      </c>
      <c r="B411" s="3" t="s">
        <v>1146</v>
      </c>
      <c r="C411" s="3" t="s">
        <v>95</v>
      </c>
      <c r="D411" s="3" t="s">
        <v>1196</v>
      </c>
    </row>
    <row r="412" spans="1:4" x14ac:dyDescent="0.2">
      <c r="A412" s="60" t="s">
        <v>1079</v>
      </c>
      <c r="B412" s="3" t="s">
        <v>1140</v>
      </c>
      <c r="C412" s="3" t="s">
        <v>1141</v>
      </c>
      <c r="D412" s="3" t="s">
        <v>1142</v>
      </c>
    </row>
    <row r="413" spans="1:4" x14ac:dyDescent="0.2">
      <c r="A413" s="10" t="s">
        <v>1080</v>
      </c>
      <c r="B413" s="3" t="s">
        <v>1140</v>
      </c>
      <c r="C413" s="3" t="s">
        <v>1141</v>
      </c>
      <c r="D413" s="3" t="s">
        <v>1142</v>
      </c>
    </row>
    <row r="414" spans="1:4" x14ac:dyDescent="0.2">
      <c r="A414" s="1" t="s">
        <v>1081</v>
      </c>
      <c r="B414" s="3" t="s">
        <v>1140</v>
      </c>
      <c r="C414" s="3" t="s">
        <v>1141</v>
      </c>
      <c r="D414" s="3" t="s">
        <v>1142</v>
      </c>
    </row>
    <row r="415" spans="1:4" x14ac:dyDescent="0.2">
      <c r="A415" s="1" t="s">
        <v>1082</v>
      </c>
      <c r="B415" s="3" t="s">
        <v>1140</v>
      </c>
      <c r="C415" s="3" t="s">
        <v>1141</v>
      </c>
      <c r="D415" s="3" t="s">
        <v>1142</v>
      </c>
    </row>
    <row r="416" spans="1:4" x14ac:dyDescent="0.2">
      <c r="A416" s="1" t="s">
        <v>1083</v>
      </c>
      <c r="B416" s="3" t="s">
        <v>1140</v>
      </c>
      <c r="C416" s="3" t="s">
        <v>1141</v>
      </c>
      <c r="D416" s="3" t="s">
        <v>1142</v>
      </c>
    </row>
    <row r="417" spans="1:4" x14ac:dyDescent="0.2">
      <c r="A417" s="1" t="s">
        <v>1084</v>
      </c>
      <c r="B417" s="3" t="s">
        <v>1140</v>
      </c>
      <c r="C417" s="3" t="s">
        <v>1141</v>
      </c>
      <c r="D417" s="3" t="s">
        <v>1142</v>
      </c>
    </row>
    <row r="418" spans="1:4" x14ac:dyDescent="0.2">
      <c r="A418" s="1" t="s">
        <v>1085</v>
      </c>
      <c r="B418" s="3" t="s">
        <v>1140</v>
      </c>
      <c r="C418" s="3" t="s">
        <v>1141</v>
      </c>
      <c r="D418" s="3" t="s">
        <v>1142</v>
      </c>
    </row>
    <row r="419" spans="1:4" x14ac:dyDescent="0.2">
      <c r="A419" s="1" t="s">
        <v>1086</v>
      </c>
      <c r="B419" s="3" t="s">
        <v>1140</v>
      </c>
      <c r="C419" s="3" t="s">
        <v>1141</v>
      </c>
      <c r="D419" s="3" t="s">
        <v>1142</v>
      </c>
    </row>
    <row r="420" spans="1:4" x14ac:dyDescent="0.2">
      <c r="A420" s="10" t="s">
        <v>1087</v>
      </c>
      <c r="B420" s="3" t="s">
        <v>1140</v>
      </c>
      <c r="C420" s="3" t="s">
        <v>1141</v>
      </c>
      <c r="D420" s="3" t="s">
        <v>1142</v>
      </c>
    </row>
    <row r="421" spans="1:4" x14ac:dyDescent="0.2">
      <c r="A421" s="10" t="s">
        <v>1088</v>
      </c>
      <c r="B421" s="3" t="s">
        <v>1140</v>
      </c>
      <c r="C421" s="3" t="s">
        <v>1141</v>
      </c>
      <c r="D421" s="3" t="s">
        <v>1142</v>
      </c>
    </row>
    <row r="422" spans="1:4" x14ac:dyDescent="0.2">
      <c r="A422" s="1" t="s">
        <v>1089</v>
      </c>
      <c r="B422" s="3" t="s">
        <v>1140</v>
      </c>
      <c r="C422" s="3" t="s">
        <v>1141</v>
      </c>
      <c r="D422" s="3" t="s">
        <v>1142</v>
      </c>
    </row>
    <row r="423" spans="1:4" x14ac:dyDescent="0.2">
      <c r="A423" s="1" t="s">
        <v>1090</v>
      </c>
      <c r="B423" s="3" t="s">
        <v>1140</v>
      </c>
      <c r="C423" s="3" t="s">
        <v>1141</v>
      </c>
      <c r="D423" s="3" t="s">
        <v>1142</v>
      </c>
    </row>
    <row r="424" spans="1:4" x14ac:dyDescent="0.2">
      <c r="A424" s="1" t="s">
        <v>1091</v>
      </c>
      <c r="B424" s="3" t="s">
        <v>1140</v>
      </c>
      <c r="C424" s="3" t="s">
        <v>1141</v>
      </c>
      <c r="D424" s="3" t="s">
        <v>1142</v>
      </c>
    </row>
    <row r="425" spans="1:4" x14ac:dyDescent="0.2">
      <c r="A425" s="1" t="s">
        <v>1092</v>
      </c>
      <c r="B425" s="3" t="s">
        <v>1140</v>
      </c>
      <c r="C425" s="3" t="s">
        <v>1141</v>
      </c>
      <c r="D425" s="3" t="s">
        <v>1142</v>
      </c>
    </row>
    <row r="426" spans="1:4" x14ac:dyDescent="0.2">
      <c r="A426" s="1" t="s">
        <v>1093</v>
      </c>
      <c r="B426" s="3" t="s">
        <v>1140</v>
      </c>
      <c r="C426" s="3" t="s">
        <v>1141</v>
      </c>
      <c r="D426" s="3" t="s">
        <v>1142</v>
      </c>
    </row>
    <row r="427" spans="1:4" x14ac:dyDescent="0.2">
      <c r="A427" s="1" t="s">
        <v>1094</v>
      </c>
      <c r="B427" s="3" t="s">
        <v>1140</v>
      </c>
      <c r="C427" s="3" t="s">
        <v>1141</v>
      </c>
      <c r="D427" s="3" t="s">
        <v>1142</v>
      </c>
    </row>
    <row r="428" spans="1:4" x14ac:dyDescent="0.2">
      <c r="A428" s="1" t="s">
        <v>1095</v>
      </c>
      <c r="B428" s="3" t="s">
        <v>1140</v>
      </c>
      <c r="C428" s="3" t="s">
        <v>1141</v>
      </c>
      <c r="D428" s="3" t="s">
        <v>1142</v>
      </c>
    </row>
    <row r="429" spans="1:4" x14ac:dyDescent="0.2">
      <c r="A429" s="1" t="s">
        <v>1096</v>
      </c>
      <c r="B429" s="3" t="s">
        <v>1140</v>
      </c>
      <c r="C429" s="3" t="s">
        <v>1141</v>
      </c>
      <c r="D429" s="3" t="s">
        <v>1142</v>
      </c>
    </row>
    <row r="430" spans="1:4" x14ac:dyDescent="0.2">
      <c r="A430" s="1" t="s">
        <v>1097</v>
      </c>
      <c r="B430" s="3" t="s">
        <v>1140</v>
      </c>
      <c r="C430" s="3" t="s">
        <v>1141</v>
      </c>
      <c r="D430" s="3" t="s">
        <v>1142</v>
      </c>
    </row>
    <row r="431" spans="1:4" x14ac:dyDescent="0.2">
      <c r="A431" s="1" t="s">
        <v>1098</v>
      </c>
      <c r="B431" s="3" t="s">
        <v>1140</v>
      </c>
      <c r="C431" s="3" t="s">
        <v>1141</v>
      </c>
      <c r="D431" s="3" t="s">
        <v>1142</v>
      </c>
    </row>
    <row r="432" spans="1:4" x14ac:dyDescent="0.2">
      <c r="A432" s="1" t="s">
        <v>1099</v>
      </c>
      <c r="B432" s="3" t="s">
        <v>1140</v>
      </c>
      <c r="C432" s="3" t="s">
        <v>1141</v>
      </c>
      <c r="D432" s="3" t="s">
        <v>1142</v>
      </c>
    </row>
    <row r="433" spans="1:4" x14ac:dyDescent="0.2">
      <c r="A433" s="1" t="s">
        <v>1100</v>
      </c>
      <c r="B433" s="3" t="s">
        <v>1140</v>
      </c>
      <c r="C433" s="3" t="s">
        <v>1141</v>
      </c>
      <c r="D433" s="3" t="s">
        <v>1142</v>
      </c>
    </row>
    <row r="434" spans="1:4" x14ac:dyDescent="0.2">
      <c r="A434" s="1" t="s">
        <v>1101</v>
      </c>
      <c r="B434" s="3" t="s">
        <v>1140</v>
      </c>
      <c r="C434" s="3" t="s">
        <v>1141</v>
      </c>
      <c r="D434" s="3" t="s">
        <v>1142</v>
      </c>
    </row>
    <row r="435" spans="1:4" x14ac:dyDescent="0.2">
      <c r="A435" s="1" t="s">
        <v>1102</v>
      </c>
      <c r="B435" s="3" t="s">
        <v>1140</v>
      </c>
      <c r="C435" s="3" t="s">
        <v>1141</v>
      </c>
      <c r="D435" s="3" t="s">
        <v>1142</v>
      </c>
    </row>
    <row r="436" spans="1:4" x14ac:dyDescent="0.2">
      <c r="A436" s="1" t="s">
        <v>1103</v>
      </c>
      <c r="B436" s="3" t="s">
        <v>1140</v>
      </c>
      <c r="C436" s="3" t="s">
        <v>1141</v>
      </c>
      <c r="D436" s="3" t="s">
        <v>1142</v>
      </c>
    </row>
    <row r="437" spans="1:4" x14ac:dyDescent="0.2">
      <c r="A437" s="1" t="s">
        <v>1104</v>
      </c>
      <c r="B437" s="3" t="s">
        <v>1140</v>
      </c>
      <c r="C437" s="3" t="s">
        <v>1141</v>
      </c>
      <c r="D437" s="3" t="s">
        <v>1142</v>
      </c>
    </row>
    <row r="438" spans="1:4" x14ac:dyDescent="0.2">
      <c r="A438" s="10" t="s">
        <v>654</v>
      </c>
      <c r="B438" s="3" t="s">
        <v>1377</v>
      </c>
      <c r="C438" s="3" t="s">
        <v>1190</v>
      </c>
      <c r="D438" s="3" t="s">
        <v>1208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29" activePane="bottomRight" state="frozenSplit"/>
      <selection pane="topRight" activeCell="C1" sqref="C1"/>
      <selection pane="bottomLeft" activeCell="A2" sqref="A2"/>
      <selection pane="bottomRight" activeCell="C47" sqref="C47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7.25" thickBot="1" x14ac:dyDescent="0.35">
      <c r="A1" s="13" t="s">
        <v>1343</v>
      </c>
      <c r="B1" s="50" t="s">
        <v>205</v>
      </c>
      <c r="C1" s="50" t="s">
        <v>204</v>
      </c>
      <c r="D1" s="48" t="s">
        <v>291</v>
      </c>
      <c r="E1" s="48" t="s">
        <v>0</v>
      </c>
      <c r="F1" s="48" t="s">
        <v>1126</v>
      </c>
      <c r="G1" s="51" t="s">
        <v>1214</v>
      </c>
      <c r="H1" s="50" t="s">
        <v>1</v>
      </c>
      <c r="I1" s="49" t="s">
        <v>1303</v>
      </c>
      <c r="J1" s="52" t="s">
        <v>1215</v>
      </c>
      <c r="K1" s="14" t="s">
        <v>1219</v>
      </c>
      <c r="L1" s="13" t="s">
        <v>1223</v>
      </c>
      <c r="M1" s="13" t="s">
        <v>2</v>
      </c>
      <c r="N1" s="13" t="s">
        <v>1306</v>
      </c>
      <c r="O1" s="14" t="s">
        <v>1219</v>
      </c>
      <c r="P1" s="61" t="s">
        <v>1305</v>
      </c>
      <c r="Q1" s="46" t="s">
        <v>1224</v>
      </c>
      <c r="R1" s="18" t="s">
        <v>2</v>
      </c>
      <c r="S1" s="18" t="s">
        <v>1225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292</v>
      </c>
      <c r="AD1" s="13" t="s">
        <v>1307</v>
      </c>
      <c r="AE1" s="13" t="s">
        <v>1308</v>
      </c>
      <c r="AF1" s="13" t="s">
        <v>1309</v>
      </c>
      <c r="AG1" s="13" t="s">
        <v>1310</v>
      </c>
      <c r="AH1" s="13" t="s">
        <v>1311</v>
      </c>
      <c r="AK1" s="14" t="s">
        <v>1365</v>
      </c>
      <c r="AL1" s="13" t="s">
        <v>1364</v>
      </c>
    </row>
    <row r="2" spans="1:38" s="23" customFormat="1" ht="16.5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293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1222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260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1222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293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270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274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271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293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1220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280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1220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293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1220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285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1220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293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1222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1248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1222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250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1222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293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1222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260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1222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293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1222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270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1222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274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1222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271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1222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293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1222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252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1222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293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1222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269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1222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258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1222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293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1222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261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1222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293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1222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251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1222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293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1222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1229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1222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1232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1222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272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1222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293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1222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266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1222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256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1222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276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1222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267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1222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268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1222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293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1222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262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1222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293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1222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263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1222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293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1222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NTR1_rat_4BUO_TM2</v>
      </c>
      <c r="B45" s="45" t="s">
        <v>234</v>
      </c>
      <c r="C45" s="45" t="s">
        <v>1566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1222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243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1222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244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1222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293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1222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293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1222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245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1222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245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1222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290</v>
      </c>
      <c r="C52" s="45" t="s">
        <v>293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1222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290</v>
      </c>
      <c r="C53" s="45" t="s">
        <v>289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1222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1373</v>
      </c>
      <c r="C54" s="45" t="s">
        <v>293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1222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1373</v>
      </c>
      <c r="C55" s="45" t="s">
        <v>281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1222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1373</v>
      </c>
      <c r="C56" s="45" t="s">
        <v>282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1222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1374</v>
      </c>
      <c r="C57" s="45" t="s">
        <v>293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1222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1374</v>
      </c>
      <c r="C58" s="45" t="s">
        <v>283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1222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293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1222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287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1222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293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1222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270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1222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274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1222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271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1222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1367</v>
      </c>
      <c r="C65" s="45" t="s">
        <v>293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1222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1367</v>
      </c>
      <c r="C66" s="45" t="s">
        <v>240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1222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293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1222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273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1222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293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1222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284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1222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293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1222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1248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1222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250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1222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293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1222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260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1222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293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1222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270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1222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274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1222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271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1222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293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1222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252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1222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293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1222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269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1222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258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1222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293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1222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261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1222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293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1222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251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1222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293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1222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1229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1222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1232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1222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272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1222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293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1222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266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1222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256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1222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276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1222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267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1222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268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1222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293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1222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259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1222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293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1222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264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1222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293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1222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287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1222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1236</v>
      </c>
      <c r="C105" s="45" t="s">
        <v>293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1222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1236</v>
      </c>
      <c r="C106" s="45" t="s">
        <v>253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1222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293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1222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262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1222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1367</v>
      </c>
      <c r="C109" s="45" t="s">
        <v>293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1222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1367</v>
      </c>
      <c r="C110" s="45" t="s">
        <v>240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1222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1226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293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1222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239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1222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293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1222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263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1222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293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1222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280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1222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293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1222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NTR1_rat_4BUO_TM7</v>
      </c>
      <c r="B118" s="45" t="s">
        <v>234</v>
      </c>
      <c r="C118" s="45" t="s">
        <v>1566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1222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1222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293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1222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278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1222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254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1222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293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1222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279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1222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293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1222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255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1222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275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1222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1372</v>
      </c>
      <c r="C128" s="45" t="s">
        <v>293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1222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1372</v>
      </c>
      <c r="C129" s="45" t="s">
        <v>257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1222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243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1222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244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1222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293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1222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293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1222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245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1222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245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1222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290</v>
      </c>
      <c r="C136" s="45" t="s">
        <v>293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1222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290</v>
      </c>
      <c r="C137" s="45" t="s">
        <v>289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1222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1373</v>
      </c>
      <c r="C138" s="45" t="s">
        <v>293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1222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1373</v>
      </c>
      <c r="C139" s="45" t="s">
        <v>281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1222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1373</v>
      </c>
      <c r="C140" s="45" t="s">
        <v>282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1222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1374</v>
      </c>
      <c r="C141" s="45" t="s">
        <v>293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1222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1374</v>
      </c>
      <c r="C142" s="45" t="s">
        <v>283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1222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293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1222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273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1222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293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1222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241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1222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293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1222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284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1222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293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1222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285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1222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293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1222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286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1222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293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1222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288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1222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293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1222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247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1222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248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1222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249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1222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293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1222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263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1222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293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1222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1248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1222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250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1222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293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1222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260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1222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293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1222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252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1222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293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1222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269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1222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258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1222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293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1222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261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1222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293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1222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251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1222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293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1222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1229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1222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1232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1222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272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1222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293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1222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266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1222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256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1222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276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1222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267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1222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268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1222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293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1222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259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1222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293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1222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264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1222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1236</v>
      </c>
      <c r="C189" s="45" t="s">
        <v>293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1222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1236</v>
      </c>
      <c r="C190" s="45" t="s">
        <v>253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1222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293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1222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262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1222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1367</v>
      </c>
      <c r="C193" s="45" t="s">
        <v>293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1222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1367</v>
      </c>
      <c r="C194" s="45" t="s">
        <v>240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1222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293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1222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263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1222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293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1222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278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1222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254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1222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293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1222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279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1222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293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1222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255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1222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275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1222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1372</v>
      </c>
      <c r="C205" s="45" t="s">
        <v>293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1222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1372</v>
      </c>
      <c r="C206" s="45" t="s">
        <v>257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1222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243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1222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244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1222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293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1222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293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1222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245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1222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245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1222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290</v>
      </c>
      <c r="C213" s="45" t="s">
        <v>293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1222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290</v>
      </c>
      <c r="C214" s="45" t="s">
        <v>289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1222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1373</v>
      </c>
      <c r="C215" s="45" t="s">
        <v>293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1222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1373</v>
      </c>
      <c r="C216" s="45" t="s">
        <v>281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1222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1373</v>
      </c>
      <c r="C217" s="45" t="s">
        <v>282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1222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1374</v>
      </c>
      <c r="C218" s="45" t="s">
        <v>293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1222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1374</v>
      </c>
      <c r="C219" s="45" t="s">
        <v>283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1222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293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1222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273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1222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293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1222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277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1222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246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1222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293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1222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286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1222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293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1222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259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1222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293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1222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260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1222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293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1222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264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1222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1236</v>
      </c>
      <c r="C233" s="45" t="s">
        <v>293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1222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1236</v>
      </c>
      <c r="C234" s="45" t="s">
        <v>253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1222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293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1222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262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1222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293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1222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NTR1_rat_4BUO_TM4</v>
      </c>
      <c r="B238" s="45" t="s">
        <v>234</v>
      </c>
      <c r="C238" s="45" t="s">
        <v>1566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1222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1222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1373</v>
      </c>
      <c r="C240" s="45" t="s">
        <v>293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1222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1373</v>
      </c>
      <c r="C241" s="45" t="s">
        <v>281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1222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1373</v>
      </c>
      <c r="C242" s="45" t="s">
        <v>282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1222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1374</v>
      </c>
      <c r="C243" s="45" t="s">
        <v>293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1222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1374</v>
      </c>
      <c r="C244" s="45" t="s">
        <v>283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1222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293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1222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273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1222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293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1222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284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1222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293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1222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286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1222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290</v>
      </c>
      <c r="C251" s="45" t="s">
        <v>293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1222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290</v>
      </c>
      <c r="C252" s="45" t="s">
        <v>289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1222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293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1222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241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1222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293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1222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1248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1222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250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1222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293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1222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270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1222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274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1222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271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1222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293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1222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252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1222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293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1222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269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1222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1226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258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1222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293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1222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261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1222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293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1222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251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1222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293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1222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1220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1229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1222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1232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1222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272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1222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293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1222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266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1222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256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1222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276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1222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267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1222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268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1222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293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1222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259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1222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293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1222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264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1222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293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1222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287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1222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1236</v>
      </c>
      <c r="C287" s="45" t="s">
        <v>293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1222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1236</v>
      </c>
      <c r="C288" s="45" t="s">
        <v>253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1222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293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1222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262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1222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1226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1367</v>
      </c>
      <c r="C291" s="45" t="s">
        <v>293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1222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1367</v>
      </c>
      <c r="C292" s="45" t="s">
        <v>240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1222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293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1222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239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1222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1222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1226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293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1222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288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1222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293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1222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247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1222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248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1222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249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1222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293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1222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263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1222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293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1222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280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1222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293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1222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NTR1_rat_4BUO_TM1</v>
      </c>
      <c r="B307" s="45" t="s">
        <v>234</v>
      </c>
      <c r="C307" s="45" t="s">
        <v>1566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1222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1222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293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1222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278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1222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254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1222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293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1222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279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1222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293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1222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255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1222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275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1222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1372</v>
      </c>
      <c r="C317" s="45" t="s">
        <v>293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1222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1372</v>
      </c>
      <c r="C318" s="45" t="s">
        <v>257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1222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243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1222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244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1222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293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1222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293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1222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245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1222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245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1222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290</v>
      </c>
      <c r="C325" s="45" t="s">
        <v>293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1222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290</v>
      </c>
      <c r="C326" s="45" t="s">
        <v>289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1222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1373</v>
      </c>
      <c r="C327" s="45" t="s">
        <v>293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1222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1373</v>
      </c>
      <c r="C328" s="45" t="s">
        <v>281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1222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1373</v>
      </c>
      <c r="C329" s="45" t="s">
        <v>282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1222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1374</v>
      </c>
      <c r="C330" s="45" t="s">
        <v>293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1222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1374</v>
      </c>
      <c r="C331" s="45" t="s">
        <v>283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1222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293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1222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273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1222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293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1222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241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1222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293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1222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284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1222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293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1222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285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1222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293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1222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277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1222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246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1222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293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1222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286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1222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293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1220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1248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1220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250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1220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293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1220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260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1220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293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1220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270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1220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274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1220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271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1220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293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1220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252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1220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293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1220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269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1220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258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1220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293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1220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261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1220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293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1220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251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1220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293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1220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1229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1220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1232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1220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272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1220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293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1220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266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1220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256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1220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276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1220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267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1220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268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1220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293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1220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259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1220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293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1220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264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1220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293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1220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287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1220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1236</v>
      </c>
      <c r="C379" s="45" t="s">
        <v>293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1220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1236</v>
      </c>
      <c r="C380" s="45" t="s">
        <v>253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1220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293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1220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262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1220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1367</v>
      </c>
      <c r="C383" s="45" t="s">
        <v>293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1220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1367</v>
      </c>
      <c r="C384" s="45" t="s">
        <v>240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1220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293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1220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239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1220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1220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293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1220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288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1220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293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1220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247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1220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248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1220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249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1220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293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1220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263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1220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293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1220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280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1220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293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1220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NTR1_rat_4BUO_ICL1</v>
      </c>
      <c r="B399" s="45" t="s">
        <v>234</v>
      </c>
      <c r="C399" s="45" t="s">
        <v>1566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1220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1366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1220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1366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293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1220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278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1220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254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1220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293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1220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279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1220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293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1220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255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1220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275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1220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1372</v>
      </c>
      <c r="C409" s="45" t="s">
        <v>293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1220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1372</v>
      </c>
      <c r="C410" s="45" t="s">
        <v>257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1220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243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1220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244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1220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293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1220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293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1220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245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1220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245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1220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290</v>
      </c>
      <c r="C417" s="45" t="s">
        <v>293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1220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290</v>
      </c>
      <c r="C418" s="45" t="s">
        <v>289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1220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1373</v>
      </c>
      <c r="C419" s="45" t="s">
        <v>293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1220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1373</v>
      </c>
      <c r="C420" s="45" t="s">
        <v>281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1220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1373</v>
      </c>
      <c r="C421" s="45" t="s">
        <v>282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1220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1374</v>
      </c>
      <c r="C422" s="45" t="s">
        <v>293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1220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1374</v>
      </c>
      <c r="C423" s="45" t="s">
        <v>283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1220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293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273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293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241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293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1220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284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1220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293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1220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285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1220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293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1222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277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1222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246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1222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293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1220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286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1220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293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1222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259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1222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293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1222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264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1222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293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1222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287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1222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1236</v>
      </c>
      <c r="C443" s="45" t="s">
        <v>293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1222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1236</v>
      </c>
      <c r="C444" s="45" t="s">
        <v>253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1222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1367</v>
      </c>
      <c r="C445" s="45" t="s">
        <v>293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1222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1367</v>
      </c>
      <c r="C446" s="45" t="s">
        <v>240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1222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293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1222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239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1222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1222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293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1222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288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1222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293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1222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247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1222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248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1222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249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1222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293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1222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280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1222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1222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293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1222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278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1222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254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1222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293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1222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279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1222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293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1222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255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1222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275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1222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1372</v>
      </c>
      <c r="C467" s="45" t="s">
        <v>293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1222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1372</v>
      </c>
      <c r="C468" s="45" t="s">
        <v>257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1222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293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1222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273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1222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293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1222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241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1222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293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1222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284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1222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293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1222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285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1222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293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1222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277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1222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246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1222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293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1222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286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1222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293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1248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250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293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260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293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252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293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269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258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293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261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293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251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293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1229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1232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272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293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266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256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276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267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268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293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259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293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264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293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1222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287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1222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1236</v>
      </c>
      <c r="C512" s="45" t="s">
        <v>293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1236</v>
      </c>
      <c r="C513" s="45" t="s">
        <v>253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293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262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1367</v>
      </c>
      <c r="C516" s="45" t="s">
        <v>293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1367</v>
      </c>
      <c r="C517" s="45" t="s">
        <v>240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293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239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293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288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293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247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248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249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293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263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293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NTR1_rat_4BUO_ECL1</v>
      </c>
      <c r="B530" s="45" t="s">
        <v>234</v>
      </c>
      <c r="C530" s="45" t="s">
        <v>1566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293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278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254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293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279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293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255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275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1372</v>
      </c>
      <c r="C540" s="45" t="s">
        <v>293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1372</v>
      </c>
      <c r="C541" s="45" t="s">
        <v>257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243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244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293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293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245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245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290</v>
      </c>
      <c r="C548" s="45" t="s">
        <v>293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290</v>
      </c>
      <c r="C549" s="45" t="s">
        <v>289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1373</v>
      </c>
      <c r="C550" s="45" t="s">
        <v>293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1373</v>
      </c>
      <c r="C551" s="45" t="s">
        <v>281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1373</v>
      </c>
      <c r="C552" s="45" t="s">
        <v>282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1374</v>
      </c>
      <c r="C553" s="45" t="s">
        <v>293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1374</v>
      </c>
      <c r="C554" s="45" t="s">
        <v>283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293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273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293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241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293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284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293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277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246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293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286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293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1222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1248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1222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250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1222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293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1222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260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1222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293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1222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270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1222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274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1222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271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1222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293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1222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252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1222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293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1222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269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1222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258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1222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293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1222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261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1222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293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1222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251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1222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293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1222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1229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1222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1232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1222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272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1222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293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1222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266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1222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256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1222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276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1222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267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1222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268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1222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293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1222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259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1222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293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1222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264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1222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293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1222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287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1222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1236</v>
      </c>
      <c r="C600" s="45" t="s">
        <v>293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1222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1236</v>
      </c>
      <c r="C601" s="45" t="s">
        <v>253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1222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293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1222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262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1222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1367</v>
      </c>
      <c r="C604" s="45" t="s">
        <v>293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1222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1367</v>
      </c>
      <c r="C605" s="45" t="s">
        <v>240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1222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293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1222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239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1222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1222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293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1222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288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1222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293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1222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247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1222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248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1222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249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1222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293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1222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263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1222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293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1222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280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1222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293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1222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NTR1_rat_4BUO_TM3</v>
      </c>
      <c r="B620" s="45" t="s">
        <v>234</v>
      </c>
      <c r="C620" s="45" t="s">
        <v>1566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1222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1222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293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1222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278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1222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254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1222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293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1222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279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1222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293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1222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255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1222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275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1222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1372</v>
      </c>
      <c r="C630" s="45" t="s">
        <v>293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1222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1372</v>
      </c>
      <c r="C631" s="45" t="s">
        <v>257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1222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243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1222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244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1222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293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1222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293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1222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245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1222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245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1222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290</v>
      </c>
      <c r="C638" s="45" t="s">
        <v>293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1222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290</v>
      </c>
      <c r="C639" s="45" t="s">
        <v>289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1222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1373</v>
      </c>
      <c r="C640" s="45" t="s">
        <v>293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1222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1373</v>
      </c>
      <c r="C641" s="45" t="s">
        <v>281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1222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1373</v>
      </c>
      <c r="C642" s="45" t="s">
        <v>282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1222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1374</v>
      </c>
      <c r="C643" s="45" t="s">
        <v>293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1222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1374</v>
      </c>
      <c r="C644" s="45" t="s">
        <v>283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1222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293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1222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273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1222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293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1222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241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1222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293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1222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284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1222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293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1222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285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1222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293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1222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277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1222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246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1222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293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1222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286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1222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293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1222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1248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1222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250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1222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293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1222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260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1222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1227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293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1222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270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1222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274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1222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271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1222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293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1222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252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1222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293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1222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269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1222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258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1222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293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1222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261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1222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293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1222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251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1222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293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1222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1229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1222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1232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1222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272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1222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293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1222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266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1222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256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1222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276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1222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267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1222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268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1222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293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1222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259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1222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293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1222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264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1222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293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287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1236</v>
      </c>
      <c r="C692" s="45" t="s">
        <v>293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1222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1236</v>
      </c>
      <c r="C693" s="45" t="s">
        <v>253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1222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293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1222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262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1222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1367</v>
      </c>
      <c r="C696" s="45" t="s">
        <v>293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1222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1367</v>
      </c>
      <c r="C697" s="45" t="s">
        <v>240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1222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293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239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293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288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293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247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248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249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293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1222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263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1222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293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280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293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1222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NTR1_rat_4BUO_ICL2</v>
      </c>
      <c r="B712" s="45" t="s">
        <v>234</v>
      </c>
      <c r="C712" s="45" t="s">
        <v>1566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1222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1222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293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1222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278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1222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254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1222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293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1222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279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1222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293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1222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255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1222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275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1222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1372</v>
      </c>
      <c r="C722" s="45" t="s">
        <v>293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1222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1372</v>
      </c>
      <c r="C723" s="45" t="s">
        <v>257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1222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1366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243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1222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244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1222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293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1222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293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1222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245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1222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245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1222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290</v>
      </c>
      <c r="C730" s="45" t="s">
        <v>293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1222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290</v>
      </c>
      <c r="C731" s="45" t="s">
        <v>242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1222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1373</v>
      </c>
      <c r="C732" s="45" t="s">
        <v>293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1373</v>
      </c>
      <c r="C733" s="45" t="s">
        <v>281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1373</v>
      </c>
      <c r="C734" s="45" t="s">
        <v>282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1374</v>
      </c>
      <c r="C735" s="45" t="s">
        <v>293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1374</v>
      </c>
      <c r="C736" s="45" t="s">
        <v>283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1226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293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1222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273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1222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1226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293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1222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241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1222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1226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293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1222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284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1222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1226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293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285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293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277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246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293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286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293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1222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1248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1222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250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1222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293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1222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270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1222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274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1222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271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1222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293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1222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252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1222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293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1222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269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1222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258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1222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293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1222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261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1222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293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1222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251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1222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293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1222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1229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1222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1232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1222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272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1222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293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1222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266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1222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256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1222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276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1222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267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1222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268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1222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1367</v>
      </c>
      <c r="C776" s="45" t="s">
        <v>293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1222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1367</v>
      </c>
      <c r="C777" s="45" t="s">
        <v>240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1222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293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1222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239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1222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1222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293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1222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288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1222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293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1222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247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1222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248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1222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249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1222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293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1222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280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1222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293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1222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278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1222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254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1222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293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1222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279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1222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293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1222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255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1222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275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1222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1372</v>
      </c>
      <c r="C797" s="45" t="s">
        <v>293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1222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1372</v>
      </c>
      <c r="C798" s="45" t="s">
        <v>257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1222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243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1222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244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1222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293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1222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293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1222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245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1222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245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1222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293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1222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285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1222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293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1222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277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1222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246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1222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293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1248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1226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250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1226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293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260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1226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293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270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274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271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293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252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293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269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258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293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261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293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251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293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1304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1229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1304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1232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1304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272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1304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293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1304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266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1304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256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1304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276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1304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1226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267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1304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268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1304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293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259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1226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293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264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293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287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1236</v>
      </c>
      <c r="C844" s="45" t="s">
        <v>293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1236</v>
      </c>
      <c r="C845" s="45" t="s">
        <v>253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293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262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1367</v>
      </c>
      <c r="C848" s="45" t="s">
        <v>293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1367</v>
      </c>
      <c r="C849" s="45" t="s">
        <v>240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293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239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1226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293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288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293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247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248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1226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249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1226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293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263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1226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293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280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293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NTR1_rat_4BUO_ECL2</v>
      </c>
      <c r="B864" s="45" t="s">
        <v>234</v>
      </c>
      <c r="C864" s="45" t="s">
        <v>1566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293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278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254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293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279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293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255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275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1372</v>
      </c>
      <c r="C874" s="45" t="s">
        <v>293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1372</v>
      </c>
      <c r="C875" s="45" t="s">
        <v>257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243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244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293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293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245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245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290</v>
      </c>
      <c r="C882" s="45" t="s">
        <v>293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290</v>
      </c>
      <c r="C883" s="45" t="s">
        <v>289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1373</v>
      </c>
      <c r="C884" s="45" t="s">
        <v>293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1373</v>
      </c>
      <c r="C885" s="45" t="s">
        <v>281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1373</v>
      </c>
      <c r="C886" s="45" t="s">
        <v>282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1374</v>
      </c>
      <c r="C887" s="45" t="s">
        <v>293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1374</v>
      </c>
      <c r="C888" s="45" t="s">
        <v>283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1226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293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273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293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241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293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284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293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285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293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277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246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293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286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293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1222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287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1222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293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1222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239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1222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1222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293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1222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288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1222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293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1222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247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1222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248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1222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249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1222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293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1222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280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1222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293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1222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NTR1_rat_4BUO_TM5</v>
      </c>
      <c r="B916" s="45" t="s">
        <v>234</v>
      </c>
      <c r="C916" s="45" t="s">
        <v>1566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1222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1222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293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1222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241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1222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293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1222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284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1222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293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1222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285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1222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293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1222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1248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1222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250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1222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293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1222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260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1222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293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1222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270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1222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274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1222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271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1222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293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1222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252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1222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293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1222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269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1222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258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1222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293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1222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261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1222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293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1222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251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1222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293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1222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1229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1222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1232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1222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272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1222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293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1222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266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1222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256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1222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276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1222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1226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267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1222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1226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268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1222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293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1222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259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1222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293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1222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264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1222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293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1222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287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1222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1236</v>
      </c>
      <c r="C958" s="45" t="s">
        <v>293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1222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1236</v>
      </c>
      <c r="C959" s="45" t="s">
        <v>253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1222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293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1222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262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1222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293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1222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239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1222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1222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293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1222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288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1222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293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1222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247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1222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248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1222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249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1222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293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1222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263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1222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293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1222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280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1222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293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1222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NTR1_rat_4BUO_TM6</v>
      </c>
      <c r="B976" s="45" t="s">
        <v>234</v>
      </c>
      <c r="C976" s="45" t="s">
        <v>1566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1222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1222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293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1222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278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1222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254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1222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293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1222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279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1222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293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1222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255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1222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275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1222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1372</v>
      </c>
      <c r="C986" s="45" t="s">
        <v>293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1222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1372</v>
      </c>
      <c r="C987" s="45" t="s">
        <v>257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1222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243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1222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244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1222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293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1222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293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1222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245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1222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245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1222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290</v>
      </c>
      <c r="C994" s="45" t="s">
        <v>293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1222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290</v>
      </c>
      <c r="C995" s="45" t="s">
        <v>289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1222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1373</v>
      </c>
      <c r="C996" s="45" t="s">
        <v>293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1222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1373</v>
      </c>
      <c r="C997" s="45" t="s">
        <v>281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1222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1373</v>
      </c>
      <c r="C998" s="45" t="s">
        <v>282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1222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1374</v>
      </c>
      <c r="C999" s="45" t="s">
        <v>293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1222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1374</v>
      </c>
      <c r="C1000" s="45" t="s">
        <v>283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1222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293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1222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241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1222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293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1222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285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1222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293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1222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496</v>
      </c>
      <c r="O1005" s="4" t="str">
        <f t="shared" si="97"/>
        <v>I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CHFYDFFNQAEWERSFRDYVLCQANVTI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277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1222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496</v>
      </c>
      <c r="O1006" s="4" t="str">
        <f t="shared" si="97"/>
        <v>I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CHFYDFFNQAEWERSFRDYVLCQANVTI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246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1222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496</v>
      </c>
      <c r="O1007" s="4" t="str">
        <f t="shared" si="97"/>
        <v>I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CHFYDFFNQAEWERSFRDYVLCQANVTI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293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1222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286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1222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1222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293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1222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277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1222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246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1222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293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1222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1248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1222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250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1222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293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1222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260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1222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293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1222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270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1222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274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1222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271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1222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293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1222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252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1222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293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1222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269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1222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258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1222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293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1222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261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1222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293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1222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251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1222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293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1222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1229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1222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1232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1222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272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1222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293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1222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266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1222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256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1222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276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1222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267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1222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268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1222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293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1222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259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1222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293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1222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264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1222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293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1222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287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1222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1366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1236</v>
      </c>
      <c r="C1048" s="45" t="s">
        <v>293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1222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1236</v>
      </c>
      <c r="C1049" s="45" t="s">
        <v>253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1222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293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1222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262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1222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1367</v>
      </c>
      <c r="C1052" s="45" t="s">
        <v>293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1222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1367</v>
      </c>
      <c r="C1053" s="45" t="s">
        <v>240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1222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1366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293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1222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239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1222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1222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293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1222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288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1222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293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1222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247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1222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248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1222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249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1222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293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1222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263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1222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293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1222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280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1222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293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1222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NTR1_rat_4BUO_H8</v>
      </c>
      <c r="B1068" s="45" t="s">
        <v>234</v>
      </c>
      <c r="C1068" s="45" t="s">
        <v>1566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1222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1222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293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1222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278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1222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254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1222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293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1222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279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1222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293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1222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255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1222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275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1222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1372</v>
      </c>
      <c r="C1078" s="45" t="s">
        <v>293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1222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1372</v>
      </c>
      <c r="C1079" s="45" t="s">
        <v>257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1222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1226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243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1222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244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1222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293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1222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293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1222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245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1222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245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1222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290</v>
      </c>
      <c r="C1086" s="45" t="s">
        <v>293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1222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290</v>
      </c>
      <c r="C1087" s="45" t="s">
        <v>289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1222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1373</v>
      </c>
      <c r="C1088" s="45" t="s">
        <v>293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1222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1373</v>
      </c>
      <c r="C1089" s="45" t="s">
        <v>281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1222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1373</v>
      </c>
      <c r="C1090" s="45" t="s">
        <v>282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1222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1374</v>
      </c>
      <c r="C1091" s="45" t="s">
        <v>293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1222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1374</v>
      </c>
      <c r="C1092" s="45" t="s">
        <v>283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1222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293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1222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273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1222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1366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293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1222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241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1222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1366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293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1222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284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1222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1366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293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1222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285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1222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293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1222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277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1222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246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1222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293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1222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286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1222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ColWidth="10.83203125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6.5" thickBot="1" x14ac:dyDescent="0.3">
      <c r="B1" s="37" t="s">
        <v>1344</v>
      </c>
      <c r="C1" s="37" t="s">
        <v>205</v>
      </c>
      <c r="D1" s="37" t="s">
        <v>204</v>
      </c>
      <c r="E1" s="37" t="s">
        <v>1315</v>
      </c>
      <c r="F1" s="37" t="s">
        <v>1313</v>
      </c>
      <c r="G1" s="37" t="s">
        <v>1330</v>
      </c>
      <c r="H1" s="37" t="s">
        <v>1314</v>
      </c>
      <c r="I1" s="43" t="s">
        <v>1361</v>
      </c>
      <c r="J1" s="44" t="s">
        <v>1353</v>
      </c>
      <c r="K1" s="41" t="s">
        <v>1351</v>
      </c>
      <c r="L1" s="41" t="s">
        <v>1350</v>
      </c>
      <c r="M1" s="41" t="s">
        <v>1352</v>
      </c>
      <c r="N1" s="41" t="s">
        <v>1354</v>
      </c>
      <c r="O1" s="41" t="s">
        <v>1322</v>
      </c>
      <c r="P1" s="37" t="s">
        <v>1219</v>
      </c>
      <c r="Q1" s="37" t="s">
        <v>1317</v>
      </c>
      <c r="R1" s="37" t="s">
        <v>1345</v>
      </c>
      <c r="S1" s="38" t="s">
        <v>1341</v>
      </c>
      <c r="T1" s="39" t="s">
        <v>1340</v>
      </c>
      <c r="U1" s="37" t="s">
        <v>1349</v>
      </c>
      <c r="V1" s="38" t="s">
        <v>1347</v>
      </c>
      <c r="W1" s="56" t="s">
        <v>1348</v>
      </c>
      <c r="X1" s="37" t="s">
        <v>1324</v>
      </c>
    </row>
    <row r="2" spans="1:24" ht="16.5" thickTop="1" x14ac:dyDescent="0.25">
      <c r="A2" s="12" t="s">
        <v>1355</v>
      </c>
      <c r="B2" s="12" t="str">
        <f t="shared" ref="B2:B10" si="0">CONCATENATE(C2,"_",D2)</f>
        <v>US28_hcmva_4XT1</v>
      </c>
      <c r="C2" s="2" t="s">
        <v>230</v>
      </c>
      <c r="D2" s="12" t="s">
        <v>1338</v>
      </c>
      <c r="E2" s="12" t="s">
        <v>1320</v>
      </c>
      <c r="F2" s="12" t="s">
        <v>1326</v>
      </c>
      <c r="G2" s="12" t="s">
        <v>1339</v>
      </c>
      <c r="H2" s="12" t="s">
        <v>1329</v>
      </c>
      <c r="I2" s="34" t="s">
        <v>1358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1342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1337</v>
      </c>
    </row>
    <row r="3" spans="1:24" x14ac:dyDescent="0.2">
      <c r="B3" s="3" t="str">
        <f t="shared" si="0"/>
        <v>FFAR1_human_4PHU</v>
      </c>
      <c r="C3" s="2" t="s">
        <v>1367</v>
      </c>
      <c r="D3" s="32" t="s">
        <v>240</v>
      </c>
      <c r="E3" s="3" t="s">
        <v>1319</v>
      </c>
      <c r="F3" s="3" t="s">
        <v>129</v>
      </c>
      <c r="G3" s="3" t="s">
        <v>1368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1357</v>
      </c>
      <c r="B4" s="12" t="str">
        <f t="shared" si="0"/>
        <v>OPRM_mouse_5C1M</v>
      </c>
      <c r="C4" s="12" t="s">
        <v>232</v>
      </c>
      <c r="D4" s="3" t="s">
        <v>275</v>
      </c>
      <c r="E4" s="12" t="s">
        <v>1320</v>
      </c>
      <c r="F4" s="12" t="s">
        <v>1326</v>
      </c>
      <c r="G4" s="12" t="s">
        <v>1339</v>
      </c>
      <c r="H4" s="12" t="s">
        <v>1329</v>
      </c>
      <c r="I4" s="34" t="s">
        <v>1358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1342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1337</v>
      </c>
    </row>
    <row r="5" spans="1:24" x14ac:dyDescent="0.2">
      <c r="A5" s="12" t="s">
        <v>1356</v>
      </c>
      <c r="B5" s="12" t="str">
        <f t="shared" si="0"/>
        <v>OPSD_bovin_3DQB</v>
      </c>
      <c r="C5" s="12" t="s">
        <v>231</v>
      </c>
      <c r="D5" s="30" t="s">
        <v>244</v>
      </c>
      <c r="E5" s="12" t="s">
        <v>1320</v>
      </c>
      <c r="F5" s="30" t="s">
        <v>148</v>
      </c>
      <c r="G5" s="12" t="s">
        <v>1339</v>
      </c>
      <c r="H5" s="12" t="s">
        <v>1329</v>
      </c>
      <c r="I5" s="34" t="s">
        <v>1358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1332</v>
      </c>
      <c r="P5" s="31" t="s">
        <v>1218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1240</v>
      </c>
      <c r="E6" s="12" t="s">
        <v>1319</v>
      </c>
      <c r="F6" s="30"/>
      <c r="I6" s="59" t="s">
        <v>1358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270</v>
      </c>
      <c r="E7" s="3" t="s">
        <v>1320</v>
      </c>
      <c r="F7" s="3" t="s">
        <v>1316</v>
      </c>
      <c r="G7" s="12" t="s">
        <v>1339</v>
      </c>
      <c r="H7" s="3" t="s">
        <v>1329</v>
      </c>
      <c r="I7" s="35" t="s">
        <v>1359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1332</v>
      </c>
      <c r="P7" s="33" t="s">
        <v>1217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1325</v>
      </c>
    </row>
    <row r="8" spans="1:24" x14ac:dyDescent="0.2">
      <c r="B8" s="12" t="str">
        <f t="shared" si="0"/>
        <v>OPSD_todpa_2Z73</v>
      </c>
      <c r="C8" s="2" t="s">
        <v>290</v>
      </c>
      <c r="D8" s="30" t="s">
        <v>289</v>
      </c>
      <c r="E8" s="12" t="s">
        <v>1319</v>
      </c>
      <c r="F8" s="3" t="s">
        <v>129</v>
      </c>
      <c r="G8" s="3" t="s">
        <v>1362</v>
      </c>
      <c r="I8" s="34" t="s">
        <v>1358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1331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293</v>
      </c>
      <c r="E9" s="3" t="s">
        <v>1320</v>
      </c>
      <c r="F9" s="3" t="s">
        <v>94</v>
      </c>
      <c r="G9" s="3" t="s">
        <v>1363</v>
      </c>
      <c r="H9" s="3" t="s">
        <v>1329</v>
      </c>
      <c r="I9" s="35" t="s">
        <v>1359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1331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1232</v>
      </c>
      <c r="E10" s="12" t="s">
        <v>1319</v>
      </c>
      <c r="F10" s="3" t="s">
        <v>129</v>
      </c>
      <c r="G10" s="3" t="s">
        <v>1339</v>
      </c>
      <c r="I10" s="34" t="s">
        <v>1360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1331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1334</v>
      </c>
      <c r="E11" s="12" t="s">
        <v>1319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1334</v>
      </c>
      <c r="E12" s="12" t="s">
        <v>1319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293</v>
      </c>
      <c r="E13" s="12" t="s">
        <v>1319</v>
      </c>
      <c r="F13" s="12" t="s">
        <v>129</v>
      </c>
      <c r="G13" s="3" t="s">
        <v>1369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256</v>
      </c>
      <c r="E14" s="12" t="s">
        <v>1320</v>
      </c>
      <c r="F14" s="12" t="s">
        <v>1326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1333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1327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267</v>
      </c>
      <c r="E15" s="12" t="s">
        <v>1320</v>
      </c>
      <c r="F15" s="12" t="s">
        <v>1326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1333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1327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268</v>
      </c>
      <c r="E16" s="12" t="s">
        <v>1320</v>
      </c>
      <c r="F16" s="12" t="s">
        <v>1326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1333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1327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1334</v>
      </c>
      <c r="E17" s="12" t="s">
        <v>1319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1328</v>
      </c>
      <c r="E18" s="12" t="s">
        <v>1320</v>
      </c>
      <c r="F18" s="12" t="s">
        <v>1326</v>
      </c>
      <c r="H18" s="12" t="s">
        <v>1329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1327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1252</v>
      </c>
      <c r="E19" s="12" t="s">
        <v>1320</v>
      </c>
      <c r="F19" s="12" t="s">
        <v>1326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1327</v>
      </c>
    </row>
    <row r="20" spans="2:24" x14ac:dyDescent="0.2">
      <c r="B20" s="12" t="str">
        <f t="shared" si="5"/>
        <v>OPRM_human_most</v>
      </c>
      <c r="C20" s="12" t="s">
        <v>1312</v>
      </c>
      <c r="D20" s="12" t="s">
        <v>1334</v>
      </c>
      <c r="E20" s="12" t="s">
        <v>1319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1216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1321</v>
      </c>
      <c r="E21" s="12" t="s">
        <v>1319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1221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1323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1346</v>
      </c>
      <c r="E22" s="12" t="s">
        <v>1319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1332</v>
      </c>
      <c r="P22" s="31" t="s">
        <v>1218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1336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1335</v>
      </c>
      <c r="E23" s="12" t="s">
        <v>1319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1332</v>
      </c>
      <c r="P23" s="31" t="s">
        <v>1218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1336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1234</v>
      </c>
      <c r="E24" s="12" t="s">
        <v>1320</v>
      </c>
      <c r="F24" s="12" t="s">
        <v>1316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1332</v>
      </c>
      <c r="P24" s="31" t="s">
        <v>1217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1325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274</v>
      </c>
      <c r="E25" s="12" t="s">
        <v>1319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1217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1318</v>
      </c>
      <c r="E26" s="12" t="s">
        <v>1319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1217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2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5">
      <c r="B1" s="62" t="s">
        <v>1266</v>
      </c>
      <c r="C1" s="11" t="s">
        <v>1267</v>
      </c>
      <c r="D1" s="11" t="s">
        <v>1283</v>
      </c>
      <c r="E1" s="11" t="s">
        <v>1284</v>
      </c>
      <c r="F1" s="11" t="s">
        <v>1268</v>
      </c>
      <c r="G1" s="11" t="s">
        <v>1269</v>
      </c>
      <c r="H1" s="11" t="s">
        <v>1285</v>
      </c>
      <c r="I1" s="11" t="s">
        <v>1286</v>
      </c>
      <c r="J1" s="11" t="s">
        <v>1270</v>
      </c>
      <c r="K1" s="11" t="s">
        <v>1271</v>
      </c>
      <c r="L1" s="11" t="s">
        <v>1298</v>
      </c>
      <c r="M1" s="11" t="s">
        <v>1299</v>
      </c>
      <c r="N1" s="11" t="s">
        <v>1272</v>
      </c>
      <c r="O1" s="11" t="s">
        <v>1273</v>
      </c>
      <c r="P1" s="11" t="s">
        <v>1301</v>
      </c>
      <c r="Q1" s="11" t="s">
        <v>1302</v>
      </c>
      <c r="R1" s="11" t="s">
        <v>1274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</row>
    <row r="2" spans="1:25" x14ac:dyDescent="0.25">
      <c r="A2" s="1" t="s">
        <v>1556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78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2016-11-23T14:40:27Z</dcterms:modified>
  <cp:category/>
  <cp:contentStatus/>
</cp:coreProperties>
</file>